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</sheets>
  <definedNames>
    <definedName name="_xlnm.Print_Area" localSheetId="0">'A'!$A$6:$F$485</definedName>
    <definedName name="_xlnm.Print_Titles" localSheetId="0">'A'!$1:$5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<sst xmlns="http://schemas.openxmlformats.org/spreadsheetml/2006/main" count="448" uniqueCount="199">
  <si>
    <t>WASATCH COUNTY SCHOOL DISTRICT</t>
  </si>
  <si>
    <t>2014 - 2018 Annual Financial Report Comparison</t>
  </si>
  <si>
    <t>FY2018 Budget</t>
  </si>
  <si>
    <t>FY14 Actual</t>
  </si>
  <si>
    <t>FY15 Actual</t>
  </si>
  <si>
    <t>FY16 Actual</t>
  </si>
  <si>
    <t>% change</t>
  </si>
  <si>
    <t>FY17 Amended</t>
  </si>
  <si>
    <t>FY18 Budget</t>
  </si>
  <si>
    <t>Budget</t>
  </si>
  <si>
    <t>GENERAL FUND</t>
  </si>
  <si>
    <t>REVENUES:</t>
  </si>
  <si>
    <t>Local Revenue:</t>
  </si>
  <si>
    <t>Tax Proceeds:</t>
  </si>
  <si>
    <t xml:space="preserve">  Basic Program</t>
  </si>
  <si>
    <t xml:space="preserve">  Voted/Board Leeway</t>
  </si>
  <si>
    <t xml:space="preserve">    Total Tax Proceeds</t>
  </si>
  <si>
    <t>Fees/Other Local:</t>
  </si>
  <si>
    <t>Tuition from Pupils or Parents</t>
  </si>
  <si>
    <t>Transportation-Local Fees</t>
  </si>
  <si>
    <t>Interest Earnings</t>
  </si>
  <si>
    <t>Miscellaneous - General</t>
  </si>
  <si>
    <t xml:space="preserve">    Total Fees/Other</t>
  </si>
  <si>
    <t xml:space="preserve">    Total Local Revenue</t>
  </si>
  <si>
    <t>State Revenue:</t>
  </si>
  <si>
    <t>Reg School Program</t>
  </si>
  <si>
    <t>Professional Staff</t>
  </si>
  <si>
    <t>Charter School Local Replacement</t>
  </si>
  <si>
    <t>Special Ed-Regular Program</t>
  </si>
  <si>
    <t>Special Ed-Self Contained</t>
  </si>
  <si>
    <t>Special Ed- Pre-school</t>
  </si>
  <si>
    <t>Special Ed-Severe Ext Yr</t>
  </si>
  <si>
    <t>Special Ed-State Program</t>
  </si>
  <si>
    <t>Special Ed-Extended Year Stipend</t>
  </si>
  <si>
    <t>Elementary Arts Grant</t>
  </si>
  <si>
    <t>CTE</t>
  </si>
  <si>
    <t>Adult High School</t>
  </si>
  <si>
    <t>Class Size Reduction</t>
  </si>
  <si>
    <t>State Prof. Dev.</t>
  </si>
  <si>
    <t>Transportation</t>
  </si>
  <si>
    <t>Gifted/Talented</t>
  </si>
  <si>
    <t>Dual Immersion Program</t>
  </si>
  <si>
    <t>Drivers Education</t>
  </si>
  <si>
    <t>Concurrent Enrollment</t>
  </si>
  <si>
    <t>At-Risk Student Programs</t>
  </si>
  <si>
    <t>School Nurses</t>
  </si>
  <si>
    <t>Accel Learning</t>
  </si>
  <si>
    <t>Flexible Allocation WPU Dist</t>
  </si>
  <si>
    <t>Enrollment Growth</t>
  </si>
  <si>
    <t>Teacher Supplies</t>
  </si>
  <si>
    <t>Educator Salary Adjustments</t>
  </si>
  <si>
    <t>Substance Abuse</t>
  </si>
  <si>
    <t>School Land Trust</t>
  </si>
  <si>
    <t>UPASS Inservice</t>
  </si>
  <si>
    <t>Reading Achievement</t>
  </si>
  <si>
    <t>Library Books/Supplies</t>
  </si>
  <si>
    <t>Suicide Prevention</t>
  </si>
  <si>
    <t>Early Interventions</t>
  </si>
  <si>
    <t>Math/Science</t>
  </si>
  <si>
    <t xml:space="preserve">    Total State Revenue</t>
  </si>
  <si>
    <t>Federal Revenue:</t>
  </si>
  <si>
    <t>Federal Title I</t>
  </si>
  <si>
    <t>Federal Title II</t>
  </si>
  <si>
    <t>Federal Title III</t>
  </si>
  <si>
    <t>Federal IDEA - Pre-school</t>
  </si>
  <si>
    <t>Federal IDEA</t>
  </si>
  <si>
    <t>Federal Adult Ed Programs</t>
  </si>
  <si>
    <t>TANF Grant DWS Preschool 0-2</t>
  </si>
  <si>
    <t>Other Fed-State</t>
  </si>
  <si>
    <t>Federal Forest Revenue (in lieu of tax)</t>
  </si>
  <si>
    <t>Math/Science Programs</t>
  </si>
  <si>
    <t>Medicaid Outreach</t>
  </si>
  <si>
    <t>Federal Homeless</t>
  </si>
  <si>
    <t xml:space="preserve">    Total Federal Revenue</t>
  </si>
  <si>
    <t xml:space="preserve">    Total Revenue</t>
  </si>
  <si>
    <t>EXPENDITURES:</t>
  </si>
  <si>
    <t>Instructional:</t>
  </si>
  <si>
    <t>Salaries - Teachers</t>
  </si>
  <si>
    <t>Salaries - Substitute Teachers</t>
  </si>
  <si>
    <t>Salaries - Teachers Aides</t>
  </si>
  <si>
    <t>Salaries - All Other</t>
  </si>
  <si>
    <t xml:space="preserve">  Total Salaries</t>
  </si>
  <si>
    <t>Retirement Benefits</t>
  </si>
  <si>
    <t>Social Security Benefits</t>
  </si>
  <si>
    <t>Insurance Benefits</t>
  </si>
  <si>
    <t>Other Employee Benefits</t>
  </si>
  <si>
    <t xml:space="preserve">  Total Benefits</t>
  </si>
  <si>
    <t>Contracted Services</t>
  </si>
  <si>
    <t>Purchased Property Services</t>
  </si>
  <si>
    <t>Other Purchased Services</t>
  </si>
  <si>
    <t>Tuition to Other Districts</t>
  </si>
  <si>
    <t>Supplies</t>
  </si>
  <si>
    <t>Textbooks</t>
  </si>
  <si>
    <t>Equipment</t>
  </si>
  <si>
    <t>Other</t>
  </si>
  <si>
    <t xml:space="preserve">    Total Instructional:</t>
  </si>
  <si>
    <t>Support Services - Students</t>
  </si>
  <si>
    <t>Salaries - Guidance Counselors</t>
  </si>
  <si>
    <t>Salaries - Health Services Personnel</t>
  </si>
  <si>
    <t>Salaries - Aides</t>
  </si>
  <si>
    <t xml:space="preserve">    Total Support Services - Student:</t>
  </si>
  <si>
    <t>Support Services - Instructional</t>
  </si>
  <si>
    <t>Salaries - Media Centers</t>
  </si>
  <si>
    <t xml:space="preserve">    Total Support Services - Instructional:</t>
  </si>
  <si>
    <t>Support Services - District Administration</t>
  </si>
  <si>
    <t>Salaries - Administration</t>
  </si>
  <si>
    <t>Salaries - Secretarial</t>
  </si>
  <si>
    <t xml:space="preserve">    Total District Administration:</t>
  </si>
  <si>
    <t>Support Services - School Administration</t>
  </si>
  <si>
    <t xml:space="preserve">    Total School Administration:</t>
  </si>
  <si>
    <t>Support Services - Central</t>
  </si>
  <si>
    <t>Salaries - Central Services</t>
  </si>
  <si>
    <t xml:space="preserve">    Total Central Support Services</t>
  </si>
  <si>
    <t>Support Services - Facility Maintenance</t>
  </si>
  <si>
    <t>Salaries - Custodial/Maintenance</t>
  </si>
  <si>
    <t xml:space="preserve">    Total Support Services - Facilities</t>
  </si>
  <si>
    <t>Support Services - Transportation</t>
  </si>
  <si>
    <t xml:space="preserve">Salaries - Office </t>
  </si>
  <si>
    <t>Salaries - Bus Drivers</t>
  </si>
  <si>
    <t>Salaries - Mechanics</t>
  </si>
  <si>
    <t>Salaries - Activity Trip Driver</t>
  </si>
  <si>
    <t>Payments in Lieu of Transportation</t>
  </si>
  <si>
    <t>Property Insurance</t>
  </si>
  <si>
    <t>Motor Fuel</t>
  </si>
  <si>
    <t>Utilities</t>
  </si>
  <si>
    <t>Other Supplies</t>
  </si>
  <si>
    <t>School Buses</t>
  </si>
  <si>
    <t xml:space="preserve">    Total Support Services - Transportation</t>
  </si>
  <si>
    <t>Community Services</t>
  </si>
  <si>
    <t xml:space="preserve">    Total Support Services - Other</t>
  </si>
  <si>
    <t>Summary - General Fund</t>
  </si>
  <si>
    <t>Revenues by Source</t>
  </si>
  <si>
    <t xml:space="preserve">  Local</t>
  </si>
  <si>
    <t xml:space="preserve">  State</t>
  </si>
  <si>
    <t xml:space="preserve">  Federal</t>
  </si>
  <si>
    <t>Expenditures by Object</t>
  </si>
  <si>
    <t xml:space="preserve">  Salaries </t>
  </si>
  <si>
    <t xml:space="preserve">  Benefits</t>
  </si>
  <si>
    <t xml:space="preserve">  Contracted Services</t>
  </si>
  <si>
    <t xml:space="preserve">  Purchased Property Services</t>
  </si>
  <si>
    <t xml:space="preserve">  Other Purchased Services</t>
  </si>
  <si>
    <t xml:space="preserve">  Supplies</t>
  </si>
  <si>
    <t xml:space="preserve">  Equipment</t>
  </si>
  <si>
    <t xml:space="preserve">  Other</t>
  </si>
  <si>
    <t xml:space="preserve">    Total Expenditures</t>
  </si>
  <si>
    <t>Excess of Revenues over Expenditures</t>
  </si>
  <si>
    <t>Beginning Fund Balance</t>
  </si>
  <si>
    <t>Other Financing Uses</t>
  </si>
  <si>
    <t>Ending Fund Balance</t>
  </si>
  <si>
    <t>FY2017 Budget</t>
  </si>
  <si>
    <t>STUDENT ACTIVITY FUND</t>
  </si>
  <si>
    <t xml:space="preserve">  Earnings on Investments</t>
  </si>
  <si>
    <t xml:space="preserve">  Student Fees</t>
  </si>
  <si>
    <t xml:space="preserve">  School Vending</t>
  </si>
  <si>
    <t xml:space="preserve">  Community Services Activities</t>
  </si>
  <si>
    <t xml:space="preserve">  Salaries - Teachers</t>
  </si>
  <si>
    <t>DEBT SERVICE FUND</t>
  </si>
  <si>
    <t xml:space="preserve">  Debt Service Levy</t>
  </si>
  <si>
    <t xml:space="preserve">    Total Tax Proceeds:</t>
  </si>
  <si>
    <t xml:space="preserve">    Total Revenue:</t>
  </si>
  <si>
    <t xml:space="preserve">  Interest</t>
  </si>
  <si>
    <t xml:space="preserve">  Redemption of Principal</t>
  </si>
  <si>
    <t xml:space="preserve">  Miscellaneous Expenditures</t>
  </si>
  <si>
    <t xml:space="preserve">    Total Expenditures:</t>
  </si>
  <si>
    <t>Other Financing Sources</t>
  </si>
  <si>
    <t>CAPITAL PROJECTS FUND</t>
  </si>
  <si>
    <t xml:space="preserve">  Voted Capital Levy</t>
  </si>
  <si>
    <t xml:space="preserve">  10% of Basic - Capital</t>
  </si>
  <si>
    <t xml:space="preserve">  Other Local</t>
  </si>
  <si>
    <t xml:space="preserve">  Capital Outlay Foundation</t>
  </si>
  <si>
    <t>Operation and Maintenance of Facilities</t>
  </si>
  <si>
    <t>Salaries</t>
  </si>
  <si>
    <t xml:space="preserve">    Total Operation &amp; Maintenance</t>
  </si>
  <si>
    <t>Building Acquisition and Construction</t>
  </si>
  <si>
    <t>Land and Improvements</t>
  </si>
  <si>
    <t>Buildings</t>
  </si>
  <si>
    <t xml:space="preserve">    Total Building Acquisition/Construction</t>
  </si>
  <si>
    <t xml:space="preserve">    Total Expenditures - Capital Fund</t>
  </si>
  <si>
    <t>Summary - Capital Projects Fund</t>
  </si>
  <si>
    <t xml:space="preserve">  Property</t>
  </si>
  <si>
    <t>FOOD SERVICE FUND</t>
  </si>
  <si>
    <t xml:space="preserve">  Sales to Students</t>
  </si>
  <si>
    <t xml:space="preserve">  School Lunch</t>
  </si>
  <si>
    <t xml:space="preserve">  Lunch Reimbursements</t>
  </si>
  <si>
    <t xml:space="preserve">  Donated Commodities</t>
  </si>
  <si>
    <t>Food Services</t>
  </si>
  <si>
    <t>Non-Food Supplies</t>
  </si>
  <si>
    <t>Food</t>
  </si>
  <si>
    <t>Property</t>
  </si>
  <si>
    <t xml:space="preserve">    Total Food Services Expenditures</t>
  </si>
  <si>
    <t>Other Financing Sources (Uses)</t>
  </si>
  <si>
    <t>OTHER GOVERNMENTAL/ENTERPRISE FUNDS</t>
  </si>
  <si>
    <t xml:space="preserve">  Contributions/Donations</t>
  </si>
  <si>
    <t>ALL FUNDS</t>
  </si>
  <si>
    <t xml:space="preserve">  Total Local</t>
  </si>
  <si>
    <t xml:space="preserve">  Total State</t>
  </si>
  <si>
    <t xml:space="preserve">  Total Federal</t>
  </si>
  <si>
    <t xml:space="preserve">  Salaries</t>
  </si>
  <si>
    <t xml:space="preserve">  Employee Benefits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</si>
</sst>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%"/>
  </numFmts>
  <fonts count="8">
    <font>
      <sz val="12"/>
      <name val="Arial"/>
      <family val="2"/>
    </font>
    <font>
      <sz val="10"/>
      <name val="Arial"/>
      <family val="0"/>
    </font>
    <font>
      <sz val="14"/>
      <name val="TMS"/>
      <family val="0"/>
    </font>
    <font>
      <b/>
      <sz val="18"/>
      <name val="TMS"/>
      <family val="0"/>
    </font>
    <font>
      <b/>
      <sz val="14"/>
      <name val="TMS"/>
      <family val="0"/>
    </font>
    <font>
      <b/>
      <sz val="11"/>
      <name val="TMS"/>
      <family val="0"/>
    </font>
    <font>
      <b/>
      <sz val="14"/>
      <color indexed="8"/>
      <name val="TMS"/>
      <family val="0"/>
    </font>
    <font>
      <sz val="14"/>
      <color indexed="8"/>
      <name val="TMS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/>
    </xf>
    <xf numFmtId="166" fontId="2" fillId="3" borderId="0" xfId="0" applyNumberFormat="1" applyFont="1" applyFill="1" applyAlignment="1">
      <alignment/>
    </xf>
    <xf numFmtId="166" fontId="2" fillId="4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4" borderId="0" xfId="0" applyNumberFormat="1" applyFont="1" applyFill="1" applyAlignment="1">
      <alignment/>
    </xf>
    <xf numFmtId="165" fontId="6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5"/>
  <sheetViews>
    <sheetView tabSelected="1" showOutlineSymbols="0" zoomScale="87" zoomScaleNormal="87" workbookViewId="0" topLeftCell="A378">
      <selection activeCell="F476" sqref="F476"/>
    </sheetView>
  </sheetViews>
  <sheetFormatPr defaultColWidth="13.3359375" defaultRowHeight="18" customHeight="1"/>
  <cols>
    <col min="1" max="1" width="37.6640625" style="1" customWidth="1"/>
    <col min="2" max="3" width="18.10546875" style="1" customWidth="1"/>
    <col min="4" max="4" width="18.77734375" style="1" customWidth="1"/>
    <col min="5" max="5" width="12.21484375" style="1" customWidth="1"/>
    <col min="6" max="6" width="19.6640625" style="1" customWidth="1"/>
    <col min="7" max="7" width="10.99609375" style="1" customWidth="1"/>
    <col min="8" max="8" width="18.10546875" style="1" customWidth="1"/>
    <col min="9" max="9" width="14.6640625" style="1" customWidth="1"/>
    <col min="10" max="254" width="12.6640625" style="1" customWidth="1"/>
    <col min="255" max="16384" width="12.6640625" style="0" customWidth="1"/>
  </cols>
  <sheetData>
    <row r="1" ht="27" customHeight="1">
      <c r="A1" s="2" t="s">
        <v>0</v>
      </c>
    </row>
    <row r="2" ht="18" customHeight="1">
      <c r="A2" s="3" t="s">
        <v>1</v>
      </c>
    </row>
    <row r="3" ht="18" customHeight="1">
      <c r="A3" s="3" t="s">
        <v>2</v>
      </c>
    </row>
    <row r="4" spans="2:8" ht="18" customHeight="1"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5" t="s">
        <v>6</v>
      </c>
      <c r="H4" s="4" t="s">
        <v>8</v>
      </c>
    </row>
    <row r="5" spans="2:7" ht="18" customHeight="1">
      <c r="B5" s="4"/>
      <c r="C5" s="4"/>
      <c r="D5" s="4"/>
      <c r="E5" s="4"/>
      <c r="F5" s="4" t="s">
        <v>9</v>
      </c>
      <c r="G5" s="4"/>
    </row>
    <row r="6" spans="1:7" ht="18" customHeight="1">
      <c r="A6" s="4" t="s">
        <v>10</v>
      </c>
      <c r="B6" s="4"/>
      <c r="C6" s="4"/>
      <c r="D6" s="4"/>
      <c r="E6" s="4"/>
      <c r="G6" s="4"/>
    </row>
    <row r="7" ht="18" customHeight="1">
      <c r="A7" s="3" t="s">
        <v>11</v>
      </c>
    </row>
    <row r="8" ht="18" customHeight="1">
      <c r="A8" s="3" t="s">
        <v>12</v>
      </c>
    </row>
    <row r="9" ht="18" customHeight="1">
      <c r="A9" s="1" t="s">
        <v>13</v>
      </c>
    </row>
    <row r="10" spans="1:8" ht="18" customHeight="1">
      <c r="A10" s="1" t="s">
        <v>14</v>
      </c>
      <c r="B10" s="1">
        <v>6071666</v>
      </c>
      <c r="C10" s="1">
        <v>5832711</v>
      </c>
      <c r="D10" s="1">
        <f>6735933+313947+424284</f>
        <v>7474164</v>
      </c>
      <c r="E10" s="6">
        <f>(F10-D10)/D10</f>
        <v>0.05917022960695002</v>
      </c>
      <c r="F10" s="1">
        <f>7269848+282871+363693</f>
        <v>7916412</v>
      </c>
      <c r="G10" s="6">
        <f>(H10-F10)/F10</f>
        <v>-0.08553331989290097</v>
      </c>
      <c r="H10" s="1">
        <f>6631633+265851+341811</f>
        <v>7239295</v>
      </c>
    </row>
    <row r="11" spans="1:8" ht="18" customHeight="1">
      <c r="A11" s="1" t="s">
        <v>15</v>
      </c>
      <c r="B11" s="1">
        <v>12356937</v>
      </c>
      <c r="C11" s="1">
        <v>12672474</v>
      </c>
      <c r="D11" s="1">
        <f>5509804+256800+5917220+275789+347052+372715</f>
        <v>12679380</v>
      </c>
      <c r="E11" s="7">
        <f>(F11-D11)/D11</f>
        <v>0.17751285946158252</v>
      </c>
      <c r="F11" s="1">
        <f>6533167+261905+7160581+279014+336734+358732</f>
        <v>14930133</v>
      </c>
      <c r="G11" s="8">
        <f>(H11-F11)/F11</f>
        <v>0.1380380871355935</v>
      </c>
      <c r="H11" s="1">
        <f>7324632+293633+8240210+330338+377528+424719</f>
        <v>16991060</v>
      </c>
    </row>
    <row r="12" spans="1:8" ht="18" customHeight="1">
      <c r="A12" s="1" t="s">
        <v>16</v>
      </c>
      <c r="B12" s="1">
        <f>SUM(B10:B11)</f>
        <v>18428603</v>
      </c>
      <c r="C12" s="1">
        <f>SUM(C10:C11)</f>
        <v>18505185</v>
      </c>
      <c r="D12" s="1">
        <f>SUM(D10:D11)</f>
        <v>20153544</v>
      </c>
      <c r="E12" s="6">
        <f>(F12-D12)/D12</f>
        <v>0.13362419036572426</v>
      </c>
      <c r="F12" s="1">
        <f>SUM(F10:F11)</f>
        <v>22846545</v>
      </c>
      <c r="G12" s="6">
        <f>(H12-F12)/F12</f>
        <v>0.06056977105290975</v>
      </c>
      <c r="H12" s="1">
        <f>SUM(H10:H11)</f>
        <v>24230355</v>
      </c>
    </row>
    <row r="13" spans="5:7" ht="18" customHeight="1">
      <c r="E13" s="6"/>
      <c r="G13" s="6"/>
    </row>
    <row r="14" spans="1:7" ht="18" customHeight="1">
      <c r="A14" s="1" t="s">
        <v>17</v>
      </c>
      <c r="E14" s="6"/>
      <c r="G14" s="6"/>
    </row>
    <row r="15" spans="1:8" ht="18" customHeight="1">
      <c r="A15" s="1" t="s">
        <v>18</v>
      </c>
      <c r="B15" s="1">
        <v>65648</v>
      </c>
      <c r="C15" s="1">
        <v>59537</v>
      </c>
      <c r="D15" s="1">
        <v>53083</v>
      </c>
      <c r="E15" s="6">
        <f>(F15-D15)/D15</f>
        <v>-0.03453082907898951</v>
      </c>
      <c r="F15" s="1">
        <v>51250</v>
      </c>
      <c r="G15" s="6">
        <f>(H15-F15)/F15</f>
        <v>0.11219512195121951</v>
      </c>
      <c r="H15" s="1">
        <v>57000</v>
      </c>
    </row>
    <row r="16" spans="1:8" ht="18" customHeight="1">
      <c r="A16" s="1" t="s">
        <v>19</v>
      </c>
      <c r="B16" s="1">
        <v>47306</v>
      </c>
      <c r="C16" s="1">
        <v>61969</v>
      </c>
      <c r="D16" s="1">
        <v>66190</v>
      </c>
      <c r="E16" s="6">
        <f>(F16-D16)/D16</f>
        <v>-0.20682882610666264</v>
      </c>
      <c r="F16" s="1">
        <v>52500</v>
      </c>
      <c r="G16" s="6">
        <f>(H16-F16)/F16</f>
        <v>0.2857142857142857</v>
      </c>
      <c r="H16" s="1">
        <v>67500</v>
      </c>
    </row>
    <row r="17" spans="1:8" ht="18" customHeight="1">
      <c r="A17" s="1" t="s">
        <v>20</v>
      </c>
      <c r="B17" s="1">
        <v>90849</v>
      </c>
      <c r="C17" s="1">
        <v>74874</v>
      </c>
      <c r="D17" s="1">
        <v>145602</v>
      </c>
      <c r="E17" s="6">
        <f>(F17-D17)/D17</f>
        <v>1.1874699523358196</v>
      </c>
      <c r="F17" s="1">
        <v>318500</v>
      </c>
      <c r="G17" s="6">
        <f>(H17-F17)/F17</f>
        <v>-0.2543171114599686</v>
      </c>
      <c r="H17" s="1">
        <v>237500</v>
      </c>
    </row>
    <row r="18" spans="1:8" ht="18" customHeight="1">
      <c r="A18" s="1" t="s">
        <v>21</v>
      </c>
      <c r="B18" s="1">
        <v>231953</v>
      </c>
      <c r="C18" s="1">
        <v>252791</v>
      </c>
      <c r="D18" s="1">
        <v>601401</v>
      </c>
      <c r="E18" s="6">
        <f>(F18-D18)/D18</f>
        <v>0.12528745379538778</v>
      </c>
      <c r="F18" s="1">
        <v>676749</v>
      </c>
      <c r="G18" s="6">
        <f>(H18-F18)/F18</f>
        <v>-0.18692159131376626</v>
      </c>
      <c r="H18" s="1">
        <v>550250</v>
      </c>
    </row>
    <row r="19" spans="1:8" ht="18" customHeight="1">
      <c r="A19" s="1" t="s">
        <v>22</v>
      </c>
      <c r="B19" s="1">
        <f>SUM(B15:B18)</f>
        <v>435756</v>
      </c>
      <c r="C19" s="1">
        <f>SUM(C15:C18)</f>
        <v>449171</v>
      </c>
      <c r="D19" s="1">
        <f>SUM(D15:D18)</f>
        <v>866276</v>
      </c>
      <c r="E19" s="6">
        <f>(F19-D19)/D19</f>
        <v>0.26864763655001406</v>
      </c>
      <c r="F19" s="1">
        <f>SUM(F15:F18)</f>
        <v>1098999</v>
      </c>
      <c r="G19" s="6">
        <f>(H19-F19)/F19</f>
        <v>-0.16992645125245792</v>
      </c>
      <c r="H19" s="1">
        <f>SUM(H15:H18)</f>
        <v>912250</v>
      </c>
    </row>
    <row r="20" spans="1:8" ht="18" customHeight="1">
      <c r="A20" s="3" t="s">
        <v>23</v>
      </c>
      <c r="B20" s="3">
        <f>B19+B12</f>
        <v>18864359</v>
      </c>
      <c r="C20" s="3">
        <f>C19+C12</f>
        <v>18954356</v>
      </c>
      <c r="D20" s="3">
        <f>D19+D12</f>
        <v>21019820</v>
      </c>
      <c r="E20" s="8">
        <f>(F20-D20)/D20</f>
        <v>0.13918882273968092</v>
      </c>
      <c r="F20" s="3">
        <f>F19+F12</f>
        <v>23945544</v>
      </c>
      <c r="G20" s="7">
        <f>(H20-F20)/F20</f>
        <v>0.04999097118027471</v>
      </c>
      <c r="H20" s="3">
        <f>H19+H12</f>
        <v>25142605</v>
      </c>
    </row>
    <row r="21" spans="5:7" ht="18" customHeight="1">
      <c r="E21" s="6"/>
      <c r="G21" s="6"/>
    </row>
    <row r="22" spans="1:7" ht="18" customHeight="1">
      <c r="A22" s="3" t="s">
        <v>24</v>
      </c>
      <c r="E22" s="6"/>
      <c r="G22" s="6"/>
    </row>
    <row r="23" spans="1:8" ht="18" customHeight="1">
      <c r="A23" s="1" t="s">
        <v>25</v>
      </c>
      <c r="B23" s="1">
        <f>9752494-2461+23192</f>
        <v>9773225</v>
      </c>
      <c r="C23" s="1">
        <f>10986185-3446+5944</f>
        <v>10988683</v>
      </c>
      <c r="D23" s="1">
        <f>11118940-2560+17006</f>
        <v>11133386</v>
      </c>
      <c r="E23" s="6">
        <f>(F23-D23)/D23</f>
        <v>0.10488579125883177</v>
      </c>
      <c r="F23" s="1">
        <v>12301120</v>
      </c>
      <c r="G23" s="6">
        <f>(H23-F23)/F23</f>
        <v>0.20018063395853386</v>
      </c>
      <c r="H23" s="1">
        <v>14763566</v>
      </c>
    </row>
    <row r="24" spans="1:8" ht="18" customHeight="1">
      <c r="A24" s="1" t="s">
        <v>26</v>
      </c>
      <c r="B24" s="1">
        <v>1545753</v>
      </c>
      <c r="C24" s="1">
        <v>1652420</v>
      </c>
      <c r="D24" s="1">
        <v>1860747</v>
      </c>
      <c r="E24" s="6">
        <f>(F24-D24)/D24</f>
        <v>0.09671384664331045</v>
      </c>
      <c r="F24" s="1">
        <v>2040707</v>
      </c>
      <c r="G24" s="6">
        <f>(H24-F24)/F24</f>
        <v>0.08944743169891611</v>
      </c>
      <c r="H24" s="1">
        <v>2223243</v>
      </c>
    </row>
    <row r="25" spans="1:8" ht="18" customHeight="1">
      <c r="A25" s="1" t="s">
        <v>27</v>
      </c>
      <c r="B25" s="1">
        <v>-98118</v>
      </c>
      <c r="C25" s="1">
        <v>-106939</v>
      </c>
      <c r="D25" s="1">
        <v>-233700</v>
      </c>
      <c r="E25" s="6">
        <f>(F25-D25)/D25</f>
        <v>0</v>
      </c>
      <c r="F25" s="1">
        <v>-233700</v>
      </c>
      <c r="G25" s="6">
        <f>(H25-F25)/F25</f>
        <v>-1</v>
      </c>
      <c r="H25" s="1">
        <v>0</v>
      </c>
    </row>
    <row r="26" spans="1:8" ht="18" customHeight="1">
      <c r="A26" s="1" t="s">
        <v>28</v>
      </c>
      <c r="B26" s="1">
        <v>1855259</v>
      </c>
      <c r="C26" s="1">
        <v>2069427</v>
      </c>
      <c r="D26" s="1">
        <v>2091159</v>
      </c>
      <c r="E26" s="6">
        <f>(F26-D26)/D26</f>
        <v>0.021388617508281294</v>
      </c>
      <c r="F26" s="1">
        <v>2135886</v>
      </c>
      <c r="G26" s="6">
        <f>(H26-F26)/F26</f>
        <v>0.016035031832223254</v>
      </c>
      <c r="H26" s="1">
        <v>2170135</v>
      </c>
    </row>
    <row r="27" spans="1:8" ht="18" customHeight="1">
      <c r="A27" s="1" t="s">
        <v>29</v>
      </c>
      <c r="B27" s="1">
        <v>217199</v>
      </c>
      <c r="C27" s="1">
        <v>234904</v>
      </c>
      <c r="D27" s="1">
        <v>231659</v>
      </c>
      <c r="E27" s="6">
        <f>(F27-D27)/D27</f>
        <v>0.02656490790342702</v>
      </c>
      <c r="F27" s="1">
        <v>237813</v>
      </c>
      <c r="G27" s="6">
        <f>(H27-F27)/F27</f>
        <v>0.07019380773969464</v>
      </c>
      <c r="H27" s="1">
        <v>254506</v>
      </c>
    </row>
    <row r="28" spans="1:8" ht="18" customHeight="1">
      <c r="A28" s="1" t="s">
        <v>30</v>
      </c>
      <c r="B28" s="1">
        <v>279017</v>
      </c>
      <c r="C28" s="1">
        <v>187851</v>
      </c>
      <c r="D28" s="1">
        <v>259079</v>
      </c>
      <c r="E28" s="6">
        <f>(F28-D28)/D28</f>
        <v>0.19234673593768695</v>
      </c>
      <c r="F28" s="1">
        <v>308912</v>
      </c>
      <c r="G28" s="6">
        <f>(H28-F28)/F28</f>
        <v>-0.1334295851245662</v>
      </c>
      <c r="H28" s="1">
        <v>267694</v>
      </c>
    </row>
    <row r="29" spans="1:8" ht="18" customHeight="1">
      <c r="A29" s="1" t="s">
        <v>31</v>
      </c>
      <c r="B29" s="1">
        <v>11454</v>
      </c>
      <c r="C29" s="1">
        <v>11731</v>
      </c>
      <c r="D29" s="1">
        <v>11248</v>
      </c>
      <c r="E29" s="6">
        <f>(F29-D29)/D29</f>
        <v>-0.005689900426742532</v>
      </c>
      <c r="F29" s="1">
        <v>11184</v>
      </c>
      <c r="G29" s="6">
        <f>(H29-F29)/F29</f>
        <v>-0.005990701001430615</v>
      </c>
      <c r="H29" s="1">
        <v>11117</v>
      </c>
    </row>
    <row r="30" spans="1:8" ht="18" customHeight="1">
      <c r="A30" s="1" t="s">
        <v>32</v>
      </c>
      <c r="B30" s="1">
        <v>70666</v>
      </c>
      <c r="C30" s="1">
        <v>66885</v>
      </c>
      <c r="D30" s="1">
        <v>48434</v>
      </c>
      <c r="E30" s="6">
        <f>(F30-D30)/D30</f>
        <v>0.01938720733369121</v>
      </c>
      <c r="F30" s="1">
        <v>49373</v>
      </c>
      <c r="G30" s="6">
        <f>(H30-F30)/F30</f>
        <v>-0.03943450873959452</v>
      </c>
      <c r="H30" s="1">
        <v>47426</v>
      </c>
    </row>
    <row r="31" spans="1:8" ht="18" customHeight="1">
      <c r="A31" s="1" t="s">
        <v>33</v>
      </c>
      <c r="B31" s="1">
        <v>19669</v>
      </c>
      <c r="C31" s="1">
        <v>27483</v>
      </c>
      <c r="D31" s="1">
        <v>42104</v>
      </c>
      <c r="E31" s="6">
        <f>(F31-D31)/D31</f>
        <v>-0.4656089682690481</v>
      </c>
      <c r="F31" s="1">
        <v>22500</v>
      </c>
      <c r="G31" s="6">
        <f>(H31-F31)/F31</f>
        <v>0</v>
      </c>
      <c r="H31" s="1">
        <v>22500</v>
      </c>
    </row>
    <row r="32" spans="1:8" ht="18" customHeight="1">
      <c r="A32" s="1" t="s">
        <v>34</v>
      </c>
      <c r="B32" s="1">
        <v>149556</v>
      </c>
      <c r="C32" s="1">
        <v>156780</v>
      </c>
      <c r="D32" s="1">
        <v>188800</v>
      </c>
      <c r="E32" s="6">
        <f>(F32-D32)/D32</f>
        <v>0</v>
      </c>
      <c r="F32" s="1">
        <v>188800</v>
      </c>
      <c r="G32" s="6">
        <f>(H32-F32)/F32</f>
        <v>0.07928495762711864</v>
      </c>
      <c r="H32" s="1">
        <v>203769</v>
      </c>
    </row>
    <row r="33" spans="1:8" ht="18" customHeight="1">
      <c r="A33" s="1" t="s">
        <v>35</v>
      </c>
      <c r="B33" s="1">
        <v>1005805</v>
      </c>
      <c r="C33" s="1">
        <f>1098560+10000</f>
        <v>1108560</v>
      </c>
      <c r="D33" s="1">
        <f>1077431+49094</f>
        <v>1126525</v>
      </c>
      <c r="E33" s="6">
        <f>(F33-D33)/D33</f>
        <v>0.13490069017553982</v>
      </c>
      <c r="F33" s="1">
        <v>1278494</v>
      </c>
      <c r="G33" s="6">
        <f>(H33-F33)/F33</f>
        <v>0.05598618374431167</v>
      </c>
      <c r="H33" s="1">
        <v>1350072</v>
      </c>
    </row>
    <row r="34" spans="1:8" ht="18" customHeight="1">
      <c r="A34" s="1" t="s">
        <v>36</v>
      </c>
      <c r="B34" s="1">
        <v>88333</v>
      </c>
      <c r="C34" s="1">
        <v>105061</v>
      </c>
      <c r="D34" s="1">
        <v>100349</v>
      </c>
      <c r="E34" s="6">
        <f>(F34-D34)/D34</f>
        <v>-0.2193245572950403</v>
      </c>
      <c r="F34" s="1">
        <v>78340</v>
      </c>
      <c r="G34" s="6">
        <f>(H34-F34)/F34</f>
        <v>-0.1254403880520807</v>
      </c>
      <c r="H34" s="1">
        <v>68513</v>
      </c>
    </row>
    <row r="35" spans="1:8" ht="18" customHeight="1">
      <c r="A35" s="1" t="s">
        <v>37</v>
      </c>
      <c r="B35" s="1">
        <v>1041644</v>
      </c>
      <c r="C35" s="1">
        <v>1090470</v>
      </c>
      <c r="D35" s="1">
        <v>1202958</v>
      </c>
      <c r="E35" s="6">
        <f>(F35-D35)/D35</f>
        <v>0.0817509838248717</v>
      </c>
      <c r="F35" s="1">
        <v>1301301</v>
      </c>
      <c r="G35" s="6">
        <f>(H35-F35)/F35</f>
        <v>0.10252508835388584</v>
      </c>
      <c r="H35" s="1">
        <v>1434717</v>
      </c>
    </row>
    <row r="36" spans="1:8" ht="18" customHeight="1">
      <c r="A36" s="1" t="s">
        <v>38</v>
      </c>
      <c r="B36" s="1">
        <f>4750+6453</f>
        <v>11203</v>
      </c>
      <c r="C36" s="1">
        <v>0</v>
      </c>
      <c r="D36" s="1">
        <v>0</v>
      </c>
      <c r="E36" s="6"/>
      <c r="F36" s="1">
        <v>0</v>
      </c>
      <c r="G36" s="6"/>
      <c r="H36" s="1">
        <v>0</v>
      </c>
    </row>
    <row r="37" spans="1:8" ht="18" customHeight="1">
      <c r="A37" s="1" t="s">
        <v>39</v>
      </c>
      <c r="B37" s="1">
        <v>848475</v>
      </c>
      <c r="C37" s="1">
        <v>881514</v>
      </c>
      <c r="D37" s="1">
        <v>968460</v>
      </c>
      <c r="E37" s="6">
        <f>(F37-D37)/D37</f>
        <v>-0.027098692769964686</v>
      </c>
      <c r="F37" s="1">
        <v>942216</v>
      </c>
      <c r="G37" s="6">
        <f>(H37-F37)/F37</f>
        <v>0.04517435492498535</v>
      </c>
      <c r="H37" s="1">
        <v>984780</v>
      </c>
    </row>
    <row r="38" spans="1:8" ht="18" customHeight="1">
      <c r="A38" s="1" t="s">
        <v>40</v>
      </c>
      <c r="B38" s="1">
        <v>24097</v>
      </c>
      <c r="C38" s="1">
        <v>25641</v>
      </c>
      <c r="D38" s="1">
        <v>28180</v>
      </c>
      <c r="E38" s="6">
        <f>(F38-D38)/D38</f>
        <v>-1</v>
      </c>
      <c r="F38" s="1">
        <v>0</v>
      </c>
      <c r="G38" s="6" t="e">
        <f>(H38-F38)/F38</f>
        <v>#DIV/0!</v>
      </c>
      <c r="H38" s="1">
        <v>0</v>
      </c>
    </row>
    <row r="39" spans="1:8" ht="18" customHeight="1">
      <c r="A39" s="1" t="s">
        <v>41</v>
      </c>
      <c r="B39" s="1">
        <v>30000</v>
      </c>
      <c r="C39" s="1">
        <v>100000</v>
      </c>
      <c r="D39" s="1">
        <v>48000</v>
      </c>
      <c r="E39" s="6">
        <f>(F39-D39)/D39</f>
        <v>0</v>
      </c>
      <c r="F39" s="1">
        <v>48000</v>
      </c>
      <c r="G39" s="6">
        <f>(H39-F39)/F39</f>
        <v>-0.16666666666666666</v>
      </c>
      <c r="H39" s="1">
        <v>40000</v>
      </c>
    </row>
    <row r="40" spans="1:8" ht="18" customHeight="1">
      <c r="A40" s="1" t="s">
        <v>42</v>
      </c>
      <c r="B40" s="1">
        <v>51405</v>
      </c>
      <c r="C40" s="1">
        <v>54550</v>
      </c>
      <c r="D40" s="1">
        <v>99242</v>
      </c>
      <c r="E40" s="6">
        <f>(F40-D40)/D40</f>
        <v>-0.4508373470909494</v>
      </c>
      <c r="F40" s="1">
        <v>54500</v>
      </c>
      <c r="G40" s="6">
        <f>(H40-F40)/F40</f>
        <v>0.05431192660550459</v>
      </c>
      <c r="H40" s="1">
        <v>57460</v>
      </c>
    </row>
    <row r="41" spans="1:8" ht="18" customHeight="1">
      <c r="A41" s="1" t="s">
        <v>43</v>
      </c>
      <c r="B41" s="1">
        <v>149679</v>
      </c>
      <c r="C41" s="1">
        <v>154776</v>
      </c>
      <c r="D41" s="1">
        <v>156753</v>
      </c>
      <c r="E41" s="6">
        <f>(F41-D41)/D41</f>
        <v>0</v>
      </c>
      <c r="F41" s="1">
        <v>156753</v>
      </c>
      <c r="G41" s="6">
        <f>(H41-F41)/F41</f>
        <v>0.1925577181935912</v>
      </c>
      <c r="H41" s="1">
        <v>186937</v>
      </c>
    </row>
    <row r="42" spans="1:8" ht="18" customHeight="1">
      <c r="A42" s="1" t="s">
        <v>44</v>
      </c>
      <c r="B42" s="1">
        <v>154067</v>
      </c>
      <c r="C42" s="1">
        <v>165319</v>
      </c>
      <c r="D42" s="1">
        <v>182014</v>
      </c>
      <c r="E42" s="6">
        <f>(F42-D42)/D42</f>
        <v>-0.028651642181370663</v>
      </c>
      <c r="F42" s="1">
        <v>176799</v>
      </c>
      <c r="G42" s="6">
        <f>(H42-F42)/F42</f>
        <v>0.13252337400098416</v>
      </c>
      <c r="H42" s="1">
        <v>200229</v>
      </c>
    </row>
    <row r="43" spans="1:8" ht="18" customHeight="1">
      <c r="A43" s="1" t="s">
        <v>45</v>
      </c>
      <c r="B43" s="1">
        <v>10413</v>
      </c>
      <c r="C43" s="1">
        <v>10561</v>
      </c>
      <c r="D43" s="1">
        <v>12538</v>
      </c>
      <c r="E43" s="6">
        <f>(F43-D43)/D43</f>
        <v>0</v>
      </c>
      <c r="F43" s="1">
        <v>12538</v>
      </c>
      <c r="G43" s="6">
        <f>(H43-F43)/F43</f>
        <v>-0.008055511245812729</v>
      </c>
      <c r="H43" s="1">
        <v>12437</v>
      </c>
    </row>
    <row r="44" spans="1:8" ht="18" customHeight="1">
      <c r="A44" s="1" t="s">
        <v>46</v>
      </c>
      <c r="B44" s="1">
        <v>18352</v>
      </c>
      <c r="C44" s="1">
        <v>21365</v>
      </c>
      <c r="D44" s="1">
        <v>21302</v>
      </c>
      <c r="E44" s="6">
        <f>(F44-D44)/D44</f>
        <v>0.4040465683973336</v>
      </c>
      <c r="F44" s="1">
        <v>29909</v>
      </c>
      <c r="G44" s="6">
        <f>(H44-F44)/F44</f>
        <v>0.10702464141228393</v>
      </c>
      <c r="H44" s="1">
        <v>33110</v>
      </c>
    </row>
    <row r="45" spans="1:8" ht="18" customHeight="1">
      <c r="A45" s="1" t="s">
        <v>47</v>
      </c>
      <c r="B45" s="1">
        <v>221095</v>
      </c>
      <c r="C45" s="1">
        <v>224315</v>
      </c>
      <c r="D45" s="1">
        <v>230643</v>
      </c>
      <c r="E45" s="6">
        <f>(F45-D45)/D45</f>
        <v>-0.6594520536066562</v>
      </c>
      <c r="F45" s="1">
        <v>78545</v>
      </c>
      <c r="G45" s="6">
        <f>(H45-F45)/F45</f>
        <v>0.0405118085174104</v>
      </c>
      <c r="H45" s="1">
        <v>81727</v>
      </c>
    </row>
    <row r="46" spans="1:8" ht="18" customHeight="1">
      <c r="A46" s="1" t="s">
        <v>48</v>
      </c>
      <c r="B46" s="1">
        <v>55185</v>
      </c>
      <c r="C46" s="1">
        <v>62387</v>
      </c>
      <c r="D46" s="1">
        <v>226527</v>
      </c>
      <c r="E46" s="6">
        <f>(F46-D46)/D46</f>
        <v>0.03233610121530767</v>
      </c>
      <c r="F46" s="1">
        <v>233852</v>
      </c>
      <c r="G46" s="6">
        <f>(H46-F46)/F46</f>
        <v>0.05673673947624994</v>
      </c>
      <c r="H46" s="1">
        <v>247120</v>
      </c>
    </row>
    <row r="47" spans="1:8" ht="18" customHeight="1">
      <c r="A47" s="1" t="s">
        <v>49</v>
      </c>
      <c r="B47" s="1">
        <v>53255</v>
      </c>
      <c r="C47" s="1">
        <v>52993</v>
      </c>
      <c r="D47" s="1">
        <v>64487</v>
      </c>
      <c r="E47" s="6">
        <f>(F47-D47)/D47</f>
        <v>-0.0035355963217392652</v>
      </c>
      <c r="F47" s="1">
        <v>64259</v>
      </c>
      <c r="G47" s="6">
        <f>(H47-F47)/F47</f>
        <v>-0.1782629670551985</v>
      </c>
      <c r="H47" s="1">
        <v>52804</v>
      </c>
    </row>
    <row r="48" spans="1:8" ht="18" customHeight="1">
      <c r="A48" s="1" t="s">
        <v>50</v>
      </c>
      <c r="B48" s="1">
        <v>1695998</v>
      </c>
      <c r="C48" s="1">
        <v>1732627</v>
      </c>
      <c r="D48" s="1">
        <v>1793958</v>
      </c>
      <c r="E48" s="6">
        <f>(F48-D48)/D48</f>
        <v>0.010522542891193662</v>
      </c>
      <c r="F48" s="1">
        <v>1812835</v>
      </c>
      <c r="G48" s="6">
        <f>(H48-F48)/F48</f>
        <v>0</v>
      </c>
      <c r="H48" s="1">
        <v>1812835</v>
      </c>
    </row>
    <row r="49" spans="1:8" ht="18" customHeight="1">
      <c r="A49" s="1" t="s">
        <v>51</v>
      </c>
      <c r="B49" s="1">
        <v>5000</v>
      </c>
      <c r="C49" s="1">
        <v>0</v>
      </c>
      <c r="D49" s="1">
        <v>0</v>
      </c>
      <c r="E49" s="6"/>
      <c r="F49" s="1">
        <v>5000</v>
      </c>
      <c r="G49" s="6"/>
      <c r="H49" s="1">
        <v>0</v>
      </c>
    </row>
    <row r="50" spans="1:8" ht="18" customHeight="1">
      <c r="A50" s="1" t="s">
        <v>52</v>
      </c>
      <c r="B50" s="1">
        <v>396558</v>
      </c>
      <c r="C50" s="1">
        <v>415871</v>
      </c>
      <c r="D50" s="1">
        <v>487973</v>
      </c>
      <c r="E50" s="6">
        <f>(F50-D50)/D50</f>
        <v>0.12152926493883882</v>
      </c>
      <c r="F50" s="1">
        <v>547276</v>
      </c>
      <c r="G50" s="6">
        <f>(H50-F50)/F50</f>
        <v>0.33702373208399417</v>
      </c>
      <c r="H50" s="1">
        <v>731721</v>
      </c>
    </row>
    <row r="51" spans="1:8" ht="18" customHeight="1">
      <c r="A51" s="1" t="s">
        <v>53</v>
      </c>
      <c r="B51" s="1">
        <v>23221</v>
      </c>
      <c r="C51" s="1">
        <v>23374</v>
      </c>
      <c r="D51" s="1">
        <v>23599</v>
      </c>
      <c r="E51" s="6">
        <f>(F51-D51)/D51</f>
        <v>0.018517733802279758</v>
      </c>
      <c r="F51" s="1">
        <v>24036</v>
      </c>
      <c r="G51" s="6">
        <f>(H51-F51)/F51</f>
        <v>0</v>
      </c>
      <c r="H51" s="1">
        <v>24036</v>
      </c>
    </row>
    <row r="52" spans="1:8" ht="18" customHeight="1">
      <c r="A52" s="1" t="s">
        <v>54</v>
      </c>
      <c r="B52" s="1">
        <v>64803</v>
      </c>
      <c r="C52" s="1">
        <v>93526</v>
      </c>
      <c r="D52" s="1">
        <v>90381</v>
      </c>
      <c r="E52" s="6">
        <f>(F52-D52)/D52</f>
        <v>-0.005399364910766644</v>
      </c>
      <c r="F52" s="1">
        <v>89893</v>
      </c>
      <c r="G52" s="6">
        <f>(H52-F52)/F52</f>
        <v>0.042572836594618045</v>
      </c>
      <c r="H52" s="1">
        <v>93720</v>
      </c>
    </row>
    <row r="53" spans="1:8" ht="18" customHeight="1">
      <c r="A53" s="1" t="s">
        <v>55</v>
      </c>
      <c r="B53" s="1">
        <v>5039</v>
      </c>
      <c r="C53" s="1">
        <v>5049</v>
      </c>
      <c r="D53" s="1">
        <v>14873</v>
      </c>
      <c r="E53" s="6">
        <f>(F53-D53)/D53</f>
        <v>-0.4718617629261077</v>
      </c>
      <c r="F53" s="1">
        <v>7855</v>
      </c>
      <c r="G53" s="6">
        <f>(H53-F53)/F53</f>
        <v>0.026352641629535326</v>
      </c>
      <c r="H53" s="1">
        <v>8062</v>
      </c>
    </row>
    <row r="54" spans="1:8" ht="18" customHeight="1">
      <c r="A54" s="1" t="s">
        <v>56</v>
      </c>
      <c r="B54" s="1">
        <v>0</v>
      </c>
      <c r="C54" s="1">
        <v>990</v>
      </c>
      <c r="D54" s="1">
        <v>0</v>
      </c>
      <c r="E54" s="6"/>
      <c r="F54" s="1">
        <v>0</v>
      </c>
      <c r="G54" s="6"/>
      <c r="H54" s="1">
        <v>0</v>
      </c>
    </row>
    <row r="55" spans="1:8" ht="18" customHeight="1">
      <c r="A55" s="1" t="s">
        <v>57</v>
      </c>
      <c r="B55" s="1">
        <v>80150</v>
      </c>
      <c r="C55" s="1">
        <v>83176</v>
      </c>
      <c r="D55" s="1">
        <v>83832</v>
      </c>
      <c r="E55" s="6">
        <f>(F55-D55)/D55</f>
        <v>-0.027042179597289818</v>
      </c>
      <c r="F55" s="1">
        <v>81565</v>
      </c>
      <c r="G55" s="6">
        <f>(H55-F55)/F55</f>
        <v>0.052510267884509285</v>
      </c>
      <c r="H55" s="1">
        <v>85848</v>
      </c>
    </row>
    <row r="56" spans="1:8" ht="18" customHeight="1">
      <c r="A56" s="1" t="s">
        <v>58</v>
      </c>
      <c r="B56" s="1">
        <v>59618</v>
      </c>
      <c r="C56" s="1">
        <v>0</v>
      </c>
      <c r="D56" s="1">
        <v>81396</v>
      </c>
      <c r="E56" s="6">
        <f>(F56-D56)/D56</f>
        <v>-1</v>
      </c>
      <c r="F56" s="1">
        <v>0</v>
      </c>
      <c r="G56" s="6"/>
      <c r="H56" s="1">
        <v>0</v>
      </c>
    </row>
    <row r="57" spans="1:8" ht="18" customHeight="1">
      <c r="A57" s="3" t="s">
        <v>59</v>
      </c>
      <c r="B57" s="3">
        <f>SUM(B23:B56)</f>
        <v>19917075</v>
      </c>
      <c r="C57" s="3">
        <f>SUM(C23:C56)</f>
        <v>21701350</v>
      </c>
      <c r="D57" s="3">
        <f>SUM(D23:D56)</f>
        <v>22676906</v>
      </c>
      <c r="E57" s="6">
        <f>(F57-D57)/D57</f>
        <v>0.062162580733015345</v>
      </c>
      <c r="F57" s="3">
        <f>SUM(F23:F56)</f>
        <v>24086561</v>
      </c>
      <c r="G57" s="7">
        <f>(H57-F57)/F57</f>
        <v>0.1404734781357953</v>
      </c>
      <c r="H57" s="3">
        <f>SUM(H23:H56)</f>
        <v>27470084</v>
      </c>
    </row>
    <row r="58" spans="1:7" ht="18" customHeight="1">
      <c r="A58" s="3"/>
      <c r="B58" s="3"/>
      <c r="C58" s="3"/>
      <c r="D58" s="3"/>
      <c r="E58" s="6"/>
      <c r="F58" s="3"/>
      <c r="G58" s="6"/>
    </row>
    <row r="59" spans="5:7" ht="18" customHeight="1">
      <c r="E59" s="6"/>
      <c r="G59" s="6"/>
    </row>
    <row r="60" spans="1:7" ht="18" customHeight="1">
      <c r="A60" s="3" t="s">
        <v>60</v>
      </c>
      <c r="E60" s="6"/>
      <c r="G60" s="6"/>
    </row>
    <row r="61" spans="1:8" ht="18" customHeight="1">
      <c r="A61" s="1" t="s">
        <v>61</v>
      </c>
      <c r="B61" s="1">
        <v>479075</v>
      </c>
      <c r="C61" s="1">
        <v>224335</v>
      </c>
      <c r="D61" s="1">
        <v>568567</v>
      </c>
      <c r="E61" s="6">
        <f>(F61-D61)/D61</f>
        <v>-0.28318386399492057</v>
      </c>
      <c r="F61" s="1">
        <v>407558</v>
      </c>
      <c r="G61" s="6">
        <f>(H61-F61)/F61</f>
        <v>0.0815442219266951</v>
      </c>
      <c r="H61" s="1">
        <v>440792</v>
      </c>
    </row>
    <row r="62" spans="1:8" ht="18" customHeight="1">
      <c r="A62" s="1" t="s">
        <v>62</v>
      </c>
      <c r="B62" s="1">
        <v>83574</v>
      </c>
      <c r="C62" s="1">
        <v>82234</v>
      </c>
      <c r="D62" s="1">
        <v>81363</v>
      </c>
      <c r="E62" s="6">
        <f>(F62-D62)/D62</f>
        <v>0.006907316593537603</v>
      </c>
      <c r="F62" s="1">
        <v>81925</v>
      </c>
      <c r="G62" s="6">
        <f>(H62-F62)/F62</f>
        <v>0.08134269148611535</v>
      </c>
      <c r="H62" s="1">
        <v>88589</v>
      </c>
    </row>
    <row r="63" spans="1:8" ht="18" customHeight="1">
      <c r="A63" s="1" t="s">
        <v>63</v>
      </c>
      <c r="B63" s="1">
        <v>42858</v>
      </c>
      <c r="C63" s="1">
        <v>55863</v>
      </c>
      <c r="D63" s="1">
        <v>46829</v>
      </c>
      <c r="E63" s="6">
        <f>(F63-D63)/D63</f>
        <v>-0.0761493946059066</v>
      </c>
      <c r="F63" s="1">
        <v>43263</v>
      </c>
      <c r="G63" s="6">
        <f>(H63-F63)/F63</f>
        <v>0</v>
      </c>
      <c r="H63" s="1">
        <v>43263</v>
      </c>
    </row>
    <row r="64" spans="1:8" ht="18" customHeight="1">
      <c r="A64" s="1" t="s">
        <v>64</v>
      </c>
      <c r="B64" s="1">
        <v>33000</v>
      </c>
      <c r="C64" s="1">
        <v>34009</v>
      </c>
      <c r="D64" s="1">
        <v>33261</v>
      </c>
      <c r="E64" s="6">
        <f>(F64-D64)/D64</f>
        <v>-0.020594690478337993</v>
      </c>
      <c r="F64" s="1">
        <v>32576</v>
      </c>
      <c r="G64" s="6">
        <f>(H64-F64)/F64</f>
        <v>0.07655943025540275</v>
      </c>
      <c r="H64" s="1">
        <v>35070</v>
      </c>
    </row>
    <row r="65" spans="1:8" ht="18" customHeight="1">
      <c r="A65" s="1" t="s">
        <v>65</v>
      </c>
      <c r="B65" s="1">
        <v>845801</v>
      </c>
      <c r="C65" s="1">
        <v>876634</v>
      </c>
      <c r="D65" s="1">
        <v>870539</v>
      </c>
      <c r="E65" s="6">
        <f>(F65-D65)/D65</f>
        <v>0.036917358096535596</v>
      </c>
      <c r="F65" s="1">
        <v>902677</v>
      </c>
      <c r="G65" s="6">
        <f>(H65-F65)/F65</f>
        <v>0.0672411061764064</v>
      </c>
      <c r="H65" s="1">
        <v>963374</v>
      </c>
    </row>
    <row r="66" spans="1:8" ht="18" customHeight="1">
      <c r="A66" s="1" t="s">
        <v>66</v>
      </c>
      <c r="B66" s="1">
        <v>48123</v>
      </c>
      <c r="C66" s="1">
        <v>2027</v>
      </c>
      <c r="D66" s="1">
        <v>0</v>
      </c>
      <c r="E66" s="6"/>
      <c r="F66" s="1">
        <v>35692</v>
      </c>
      <c r="G66" s="6"/>
      <c r="H66" s="1">
        <v>25759</v>
      </c>
    </row>
    <row r="67" spans="1:8" ht="18" customHeight="1">
      <c r="A67" s="1" t="s">
        <v>67</v>
      </c>
      <c r="B67" s="1">
        <v>0</v>
      </c>
      <c r="C67" s="1">
        <v>104795</v>
      </c>
      <c r="D67" s="1">
        <v>104327</v>
      </c>
      <c r="E67" s="6">
        <f>(F67-D67)/D67</f>
        <v>-0.04147536112415769</v>
      </c>
      <c r="F67" s="1">
        <v>100000</v>
      </c>
      <c r="G67" s="6">
        <f>(H67-F67)/F67</f>
        <v>-1</v>
      </c>
      <c r="H67" s="1">
        <v>0</v>
      </c>
    </row>
    <row r="68" spans="1:8" ht="18" customHeight="1">
      <c r="A68" s="1" t="s">
        <v>68</v>
      </c>
      <c r="B68" s="1">
        <v>46963</v>
      </c>
      <c r="C68" s="1">
        <v>48770</v>
      </c>
      <c r="D68" s="1">
        <v>132161</v>
      </c>
      <c r="E68" s="6">
        <f>(F68-D68)/D68</f>
        <v>-0.5970293808309561</v>
      </c>
      <c r="F68" s="1">
        <v>53257</v>
      </c>
      <c r="G68" s="6">
        <f>(H68-F68)/F68</f>
        <v>1.2223933004112135</v>
      </c>
      <c r="H68" s="1">
        <f>69588+48770</f>
        <v>118358</v>
      </c>
    </row>
    <row r="69" spans="1:8" ht="18" customHeight="1">
      <c r="A69" s="1" t="s">
        <v>69</v>
      </c>
      <c r="B69" s="1">
        <v>249567</v>
      </c>
      <c r="C69" s="1">
        <v>244181</v>
      </c>
      <c r="D69" s="1">
        <v>149524</v>
      </c>
      <c r="E69" s="6">
        <f>(F69-D69)/D69</f>
        <v>0</v>
      </c>
      <c r="F69" s="1">
        <v>149524</v>
      </c>
      <c r="G69" s="6">
        <f>(H69-F69)/F69</f>
        <v>-0.7926754233434098</v>
      </c>
      <c r="H69" s="1">
        <v>31000</v>
      </c>
    </row>
    <row r="70" spans="1:8" ht="18" customHeight="1">
      <c r="A70" s="1" t="s">
        <v>70</v>
      </c>
      <c r="B70" s="1">
        <v>309835</v>
      </c>
      <c r="C70" s="1">
        <v>214954</v>
      </c>
      <c r="D70" s="1">
        <v>313917</v>
      </c>
      <c r="E70" s="6">
        <f>(F70-D70)/D70</f>
        <v>-0.5635789078004696</v>
      </c>
      <c r="F70" s="1">
        <v>137000</v>
      </c>
      <c r="G70" s="6">
        <f>(H70-F70)/F70</f>
        <v>-1</v>
      </c>
      <c r="H70" s="1">
        <v>0</v>
      </c>
    </row>
    <row r="71" spans="1:8" ht="18" customHeight="1">
      <c r="A71" s="1" t="s">
        <v>71</v>
      </c>
      <c r="B71" s="1">
        <v>0</v>
      </c>
      <c r="C71" s="1">
        <v>476897</v>
      </c>
      <c r="D71" s="1">
        <v>192746</v>
      </c>
      <c r="E71" s="6">
        <f>(F71-D71)/D71</f>
        <v>0.16733940003943013</v>
      </c>
      <c r="F71" s="1">
        <v>225000</v>
      </c>
      <c r="G71" s="6">
        <f>(H71-F71)/F71</f>
        <v>-0.2222222222222222</v>
      </c>
      <c r="H71" s="1">
        <v>175000</v>
      </c>
    </row>
    <row r="72" spans="1:8" ht="18" customHeight="1">
      <c r="A72" s="1" t="s">
        <v>72</v>
      </c>
      <c r="B72" s="1">
        <v>3231</v>
      </c>
      <c r="C72" s="1">
        <v>40096</v>
      </c>
      <c r="D72" s="1">
        <v>44343</v>
      </c>
      <c r="E72" s="6">
        <f>(F72-D72)/D72</f>
        <v>0.12757368694044155</v>
      </c>
      <c r="F72" s="1">
        <v>50000</v>
      </c>
      <c r="G72" s="6">
        <f>(H72-F72)/F72</f>
        <v>-1</v>
      </c>
      <c r="H72" s="1">
        <v>0</v>
      </c>
    </row>
    <row r="73" spans="1:8" ht="18" customHeight="1">
      <c r="A73" s="3" t="s">
        <v>73</v>
      </c>
      <c r="B73" s="3">
        <f>SUM(B61:B72)</f>
        <v>2142027</v>
      </c>
      <c r="C73" s="3">
        <f>SUM(C61:C72)</f>
        <v>2404795</v>
      </c>
      <c r="D73" s="3">
        <f>SUM(D61:D72)</f>
        <v>2537577</v>
      </c>
      <c r="E73" s="9">
        <f>(F73-D73)/D73</f>
        <v>-0.12575184910645076</v>
      </c>
      <c r="F73" s="3">
        <f>SUM(F61:F72)</f>
        <v>2218472</v>
      </c>
      <c r="G73" s="9">
        <f>(H73-F73)/F73</f>
        <v>-0.13399628212571535</v>
      </c>
      <c r="H73" s="3">
        <f>SUM(H61:H72)</f>
        <v>1921205</v>
      </c>
    </row>
    <row r="74" spans="5:7" ht="18" customHeight="1">
      <c r="E74" s="6"/>
      <c r="G74" s="6"/>
    </row>
    <row r="75" spans="1:8" ht="18" customHeight="1">
      <c r="A75" s="3" t="s">
        <v>74</v>
      </c>
      <c r="B75" s="3">
        <f>B73+B57+B20</f>
        <v>40923461</v>
      </c>
      <c r="C75" s="3">
        <f>C73+C57+C20</f>
        <v>43060501</v>
      </c>
      <c r="D75" s="3">
        <f>D73+D57+D20</f>
        <v>46234303</v>
      </c>
      <c r="E75" s="6">
        <f>(F75-D75)/D75</f>
        <v>0.08686783923183615</v>
      </c>
      <c r="F75" s="3">
        <f>F73+F57+F20</f>
        <v>50250577</v>
      </c>
      <c r="G75" s="6">
        <f>(H75-F75)/F75</f>
        <v>0.0852391605374004</v>
      </c>
      <c r="H75" s="3">
        <f>H73+H57+H20</f>
        <v>54533894</v>
      </c>
    </row>
    <row r="76" spans="5:7" ht="18" customHeight="1">
      <c r="E76" s="6"/>
      <c r="G76" s="6"/>
    </row>
    <row r="77" spans="1:7" ht="18" customHeight="1">
      <c r="A77" s="10" t="s">
        <v>75</v>
      </c>
      <c r="E77" s="6"/>
      <c r="G77" s="6"/>
    </row>
    <row r="78" spans="1:7" ht="18" customHeight="1">
      <c r="A78" s="10" t="s">
        <v>76</v>
      </c>
      <c r="E78" s="6"/>
      <c r="G78" s="6"/>
    </row>
    <row r="79" spans="1:8" ht="18" customHeight="1">
      <c r="A79" s="1" t="s">
        <v>77</v>
      </c>
      <c r="B79" s="1">
        <f>25750+16599840</f>
        <v>16625590</v>
      </c>
      <c r="C79" s="1">
        <v>17203369</v>
      </c>
      <c r="D79" s="1">
        <v>18244645</v>
      </c>
      <c r="E79" s="6">
        <f>(F79-D79)/D79</f>
        <v>0.11255351912848949</v>
      </c>
      <c r="F79" s="1">
        <v>20298144</v>
      </c>
      <c r="G79" s="6">
        <f>(H79-F79)/F79</f>
        <v>0.011581945620249811</v>
      </c>
      <c r="H79" s="1">
        <v>20533236</v>
      </c>
    </row>
    <row r="80" spans="1:8" ht="18" customHeight="1">
      <c r="A80" s="1" t="s">
        <v>78</v>
      </c>
      <c r="B80" s="1">
        <v>559</v>
      </c>
      <c r="C80" s="1">
        <v>635</v>
      </c>
      <c r="D80" s="1">
        <v>0</v>
      </c>
      <c r="E80" s="6"/>
      <c r="F80" s="1">
        <v>0</v>
      </c>
      <c r="G80" s="6"/>
      <c r="H80" s="1">
        <v>0</v>
      </c>
    </row>
    <row r="81" spans="1:8" ht="18" customHeight="1">
      <c r="A81" s="1" t="s">
        <v>79</v>
      </c>
      <c r="B81" s="1">
        <v>1098589</v>
      </c>
      <c r="C81" s="1">
        <v>1317482</v>
      </c>
      <c r="D81" s="1">
        <v>1370678</v>
      </c>
      <c r="E81" s="6">
        <f>(F81-D81)/D81</f>
        <v>-0.006410696020509558</v>
      </c>
      <c r="F81" s="1">
        <v>1361891</v>
      </c>
      <c r="G81" s="6">
        <f>(H81-F81)/F81</f>
        <v>0.2606530184867952</v>
      </c>
      <c r="H81" s="1">
        <v>1716872</v>
      </c>
    </row>
    <row r="82" spans="1:8" ht="18" customHeight="1">
      <c r="A82" s="1" t="s">
        <v>80</v>
      </c>
      <c r="B82" s="1">
        <v>68876</v>
      </c>
      <c r="C82" s="1">
        <v>70301</v>
      </c>
      <c r="D82" s="1">
        <v>58449</v>
      </c>
      <c r="E82" s="6">
        <f>(F82-D82)/D82</f>
        <v>-0.062344950298550875</v>
      </c>
      <c r="F82" s="1">
        <v>54805</v>
      </c>
      <c r="G82" s="6">
        <f>(H82-F82)/F82</f>
        <v>0.65886324240489</v>
      </c>
      <c r="H82" s="1">
        <f>12500+78414</f>
        <v>90914</v>
      </c>
    </row>
    <row r="83" spans="1:8" ht="18" customHeight="1">
      <c r="A83" s="3" t="s">
        <v>81</v>
      </c>
      <c r="B83" s="3">
        <f>SUM(B79:B82)</f>
        <v>17793614</v>
      </c>
      <c r="C83" s="3">
        <f>SUM(C79:C82)</f>
        <v>18591787</v>
      </c>
      <c r="D83" s="3">
        <f>SUM(D79:D82)</f>
        <v>19673772</v>
      </c>
      <c r="E83" s="9">
        <f>(F83-D83)/D83</f>
        <v>0.10374563657645315</v>
      </c>
      <c r="F83" s="3">
        <f>SUM(F79:F82)</f>
        <v>21714840</v>
      </c>
      <c r="G83" s="6">
        <f>(H83-F83)/F83</f>
        <v>0.028836592855392904</v>
      </c>
      <c r="H83" s="3">
        <f>SUM(H79:H82)</f>
        <v>22341022</v>
      </c>
    </row>
    <row r="84" spans="1:8" ht="18" customHeight="1">
      <c r="A84" s="1" t="s">
        <v>82</v>
      </c>
      <c r="B84" s="1">
        <v>3556086</v>
      </c>
      <c r="C84" s="1">
        <v>4382386</v>
      </c>
      <c r="D84" s="1">
        <v>4503285</v>
      </c>
      <c r="E84" s="6">
        <f>(F84-D84)/D84</f>
        <v>0.0600708149717373</v>
      </c>
      <c r="F84" s="1">
        <v>4773801</v>
      </c>
      <c r="G84" s="6">
        <f>(H84-F84)/F84</f>
        <v>0.15125222019099666</v>
      </c>
      <c r="H84" s="1">
        <v>5495849</v>
      </c>
    </row>
    <row r="85" spans="1:8" ht="18" customHeight="1">
      <c r="A85" s="1" t="s">
        <v>83</v>
      </c>
      <c r="B85" s="1">
        <v>1351598</v>
      </c>
      <c r="C85" s="1">
        <v>1429199</v>
      </c>
      <c r="D85" s="1">
        <v>1496264</v>
      </c>
      <c r="E85" s="6">
        <f>(F85-D85)/D85</f>
        <v>-0.032403372666855584</v>
      </c>
      <c r="F85" s="1">
        <v>1447780</v>
      </c>
      <c r="G85" s="6">
        <f>(H85-F85)/F85</f>
        <v>0.083312381715454</v>
      </c>
      <c r="H85" s="1">
        <v>1568398</v>
      </c>
    </row>
    <row r="86" spans="1:8" ht="18" customHeight="1">
      <c r="A86" s="1" t="s">
        <v>84</v>
      </c>
      <c r="B86" s="1">
        <v>4677479</v>
      </c>
      <c r="C86" s="1">
        <v>5070658</v>
      </c>
      <c r="D86" s="1">
        <v>5452433</v>
      </c>
      <c r="E86" s="6">
        <f>(F86-D86)/D86</f>
        <v>0.07672629814983513</v>
      </c>
      <c r="F86" s="1">
        <v>5870778</v>
      </c>
      <c r="G86" s="6">
        <f>(H86-F86)/F86</f>
        <v>0.08328742800357976</v>
      </c>
      <c r="H86" s="1">
        <v>6359740</v>
      </c>
    </row>
    <row r="87" spans="1:8" ht="18" customHeight="1">
      <c r="A87" s="1" t="s">
        <v>85</v>
      </c>
      <c r="B87" s="1">
        <v>480802</v>
      </c>
      <c r="C87" s="1">
        <v>412487</v>
      </c>
      <c r="D87" s="1">
        <v>215774</v>
      </c>
      <c r="E87" s="6">
        <f>(F87-D87)/D87</f>
        <v>-0.0035870864886408927</v>
      </c>
      <c r="F87" s="1">
        <v>215000</v>
      </c>
      <c r="G87" s="6">
        <f>(H87-F87)/F87</f>
        <v>0.23171627906976744</v>
      </c>
      <c r="H87" s="1">
        <v>264819</v>
      </c>
    </row>
    <row r="88" spans="1:8" ht="18" customHeight="1">
      <c r="A88" s="3" t="s">
        <v>86</v>
      </c>
      <c r="B88" s="3">
        <f>SUM(B84:B87)</f>
        <v>10065965</v>
      </c>
      <c r="C88" s="3">
        <f>SUM(C84:C87)</f>
        <v>11294730</v>
      </c>
      <c r="D88" s="3">
        <f>SUM(D84:D87)</f>
        <v>11667756</v>
      </c>
      <c r="E88" s="6">
        <f>(F88-D88)/D88</f>
        <v>0.054817995851130244</v>
      </c>
      <c r="F88" s="3">
        <f>SUM(F84:F87)</f>
        <v>12307359</v>
      </c>
      <c r="G88" s="6">
        <f>(H88-F88)/F88</f>
        <v>0.11224560850138522</v>
      </c>
      <c r="H88" s="3">
        <f>SUM(H84:H87)</f>
        <v>13688806</v>
      </c>
    </row>
    <row r="89" spans="1:8" ht="18" customHeight="1">
      <c r="A89" s="1" t="s">
        <v>87</v>
      </c>
      <c r="B89" s="1">
        <v>817707</v>
      </c>
      <c r="C89" s="1">
        <v>931739</v>
      </c>
      <c r="D89" s="1">
        <v>1031805</v>
      </c>
      <c r="E89" s="6">
        <f>(F89-D89)/D89</f>
        <v>-0.12307073526489987</v>
      </c>
      <c r="F89" s="1">
        <f>904820</f>
        <v>904820</v>
      </c>
      <c r="G89" s="6">
        <f>(H89-F89)/F89</f>
        <v>0.028606794721602085</v>
      </c>
      <c r="H89" s="1">
        <v>930704</v>
      </c>
    </row>
    <row r="90" spans="1:8" ht="18" customHeight="1">
      <c r="A90" s="1" t="s">
        <v>88</v>
      </c>
      <c r="B90" s="1">
        <v>0</v>
      </c>
      <c r="C90" s="1">
        <v>0</v>
      </c>
      <c r="D90" s="1">
        <v>4500</v>
      </c>
      <c r="E90" s="6">
        <f>(F90-D90)/D90</f>
        <v>0.48333333333333334</v>
      </c>
      <c r="F90" s="1">
        <v>6675</v>
      </c>
      <c r="G90" s="6">
        <f>(H90-F90)/F90</f>
        <v>0.34831460674157305</v>
      </c>
      <c r="H90" s="1">
        <v>9000</v>
      </c>
    </row>
    <row r="91" spans="1:8" ht="18" customHeight="1">
      <c r="A91" s="1" t="s">
        <v>89</v>
      </c>
      <c r="B91" s="1">
        <f>2775+306556</f>
        <v>309331</v>
      </c>
      <c r="C91" s="1">
        <f>6225+220392</f>
        <v>226617</v>
      </c>
      <c r="D91" s="1">
        <v>324443</v>
      </c>
      <c r="E91" s="6">
        <f>(F91-D91)/D91</f>
        <v>-0.5860012390466122</v>
      </c>
      <c r="F91" s="1">
        <f>134319</f>
        <v>134319</v>
      </c>
      <c r="G91" s="6">
        <f>(H91-F91)/F91</f>
        <v>0.26806334174614166</v>
      </c>
      <c r="H91" s="1">
        <v>170325</v>
      </c>
    </row>
    <row r="92" spans="1:8" ht="18" customHeight="1">
      <c r="A92" s="1" t="s">
        <v>90</v>
      </c>
      <c r="B92" s="1">
        <v>91334</v>
      </c>
      <c r="C92" s="1">
        <v>86278</v>
      </c>
      <c r="D92" s="1">
        <v>111609</v>
      </c>
      <c r="E92" s="6">
        <f>(F92-D92)/D92</f>
        <v>0.007983227159100072</v>
      </c>
      <c r="F92" s="1">
        <v>112500</v>
      </c>
      <c r="G92" s="6">
        <f>(H92-F92)/F92</f>
        <v>0.26666666666666666</v>
      </c>
      <c r="H92" s="1">
        <v>142500</v>
      </c>
    </row>
    <row r="93" spans="1:8" ht="18" customHeight="1">
      <c r="A93" s="1" t="s">
        <v>91</v>
      </c>
      <c r="B93" s="1">
        <v>584981</v>
      </c>
      <c r="C93" s="1">
        <v>594192</v>
      </c>
      <c r="D93" s="1">
        <f>766961-108839-14873-32252</f>
        <v>610997</v>
      </c>
      <c r="E93" s="6">
        <f>(F93-D93)/D93</f>
        <v>-0.028554968355000106</v>
      </c>
      <c r="F93" s="1">
        <v>593550</v>
      </c>
      <c r="G93" s="6">
        <f>(H93-F93)/F93</f>
        <v>0.015243871619914076</v>
      </c>
      <c r="H93" s="1">
        <v>602598</v>
      </c>
    </row>
    <row r="94" spans="1:8" ht="18" customHeight="1">
      <c r="A94" s="1" t="s">
        <v>92</v>
      </c>
      <c r="B94" s="1">
        <f>655458-584981</f>
        <v>70477</v>
      </c>
      <c r="C94" s="1">
        <f>694640-594192</f>
        <v>100448</v>
      </c>
      <c r="D94" s="1">
        <f>108839+14873+32252</f>
        <v>155964</v>
      </c>
      <c r="E94" s="6">
        <f>(F94-D94)/D94</f>
        <v>-0.15652971198481702</v>
      </c>
      <c r="F94" s="1">
        <f>106196+7855+17500</f>
        <v>131551</v>
      </c>
      <c r="G94" s="6">
        <f>(H94-F94)/F94</f>
        <v>-0.08733494994336798</v>
      </c>
      <c r="H94" s="1">
        <f>82250+8062+29750</f>
        <v>120062</v>
      </c>
    </row>
    <row r="95" spans="1:8" ht="18" customHeight="1">
      <c r="A95" s="1" t="s">
        <v>93</v>
      </c>
      <c r="B95" s="1">
        <v>141282</v>
      </c>
      <c r="C95" s="1">
        <v>122286</v>
      </c>
      <c r="D95" s="1">
        <v>116122</v>
      </c>
      <c r="E95" s="6">
        <f>(F95-D95)/D95</f>
        <v>-0.2116308709805205</v>
      </c>
      <c r="F95" s="1">
        <v>91547</v>
      </c>
      <c r="G95" s="7">
        <f>(H95-F95)/F95</f>
        <v>1.3251335379641058</v>
      </c>
      <c r="H95" s="1">
        <v>212859</v>
      </c>
    </row>
    <row r="96" spans="1:8" ht="18" customHeight="1">
      <c r="A96" s="1" t="s">
        <v>94</v>
      </c>
      <c r="B96" s="1">
        <v>27931</v>
      </c>
      <c r="C96" s="1">
        <v>15414</v>
      </c>
      <c r="D96" s="1">
        <v>32417</v>
      </c>
      <c r="E96" s="6">
        <f>(F96-D96)/D96</f>
        <v>0.0025603849831878334</v>
      </c>
      <c r="F96" s="1">
        <v>32500</v>
      </c>
      <c r="G96" s="6">
        <f>(H96-F96)/F96</f>
        <v>-0.15384615384615385</v>
      </c>
      <c r="H96" s="1">
        <v>27500</v>
      </c>
    </row>
    <row r="97" spans="1:8" ht="18" customHeight="1">
      <c r="A97" s="3" t="s">
        <v>95</v>
      </c>
      <c r="B97" s="3">
        <f>B83+B88+SUM(B89:B96)</f>
        <v>29902622</v>
      </c>
      <c r="C97" s="3">
        <f>C83+C88+SUM(C89:C96)</f>
        <v>31963491</v>
      </c>
      <c r="D97" s="3">
        <f>D83+D88+SUM(D89:D96)</f>
        <v>33729385</v>
      </c>
      <c r="E97" s="6">
        <f>(F97-D97)/D97</f>
        <v>0.06819798226383315</v>
      </c>
      <c r="F97" s="3">
        <f>F83+F88+SUM(F89:F96)</f>
        <v>36029661</v>
      </c>
      <c r="G97" s="6">
        <f>(H97-F97)/F97</f>
        <v>0.061496970509936244</v>
      </c>
      <c r="H97" s="3">
        <f>H83+H88+SUM(H89:H96)</f>
        <v>38245376</v>
      </c>
    </row>
    <row r="98" spans="5:7" ht="18" customHeight="1">
      <c r="E98" s="6"/>
      <c r="G98" s="6"/>
    </row>
    <row r="99" spans="1:7" ht="18" customHeight="1">
      <c r="A99" s="3" t="s">
        <v>96</v>
      </c>
      <c r="E99" s="6"/>
      <c r="G99" s="6"/>
    </row>
    <row r="100" spans="1:8" ht="18" customHeight="1">
      <c r="A100" s="1" t="s">
        <v>97</v>
      </c>
      <c r="B100" s="1">
        <f>580336</f>
        <v>580336</v>
      </c>
      <c r="C100" s="1">
        <v>638768</v>
      </c>
      <c r="D100" s="1">
        <v>673990</v>
      </c>
      <c r="E100" s="7">
        <f>(F100-D100)/D100</f>
        <v>0.2239706820575973</v>
      </c>
      <c r="F100" s="1">
        <v>824944</v>
      </c>
      <c r="G100" s="7">
        <f>(H100-F100)/F100</f>
        <v>0.21287505576136076</v>
      </c>
      <c r="H100" s="1">
        <v>1000554</v>
      </c>
    </row>
    <row r="101" spans="1:8" ht="18" customHeight="1">
      <c r="A101" s="1" t="s">
        <v>98</v>
      </c>
      <c r="B101" s="1">
        <v>53625</v>
      </c>
      <c r="C101" s="1">
        <v>61713</v>
      </c>
      <c r="D101" s="1">
        <v>62047</v>
      </c>
      <c r="E101" s="6">
        <f>(F101-D101)/D101</f>
        <v>0.056376617725272776</v>
      </c>
      <c r="F101" s="1">
        <v>65545</v>
      </c>
      <c r="G101" s="6">
        <f>(H101-F101)/F101</f>
        <v>0.2314898161568388</v>
      </c>
      <c r="H101" s="1">
        <v>80718</v>
      </c>
    </row>
    <row r="102" spans="1:8" ht="18" customHeight="1">
      <c r="A102" s="1" t="s">
        <v>99</v>
      </c>
      <c r="B102" s="1">
        <v>46266</v>
      </c>
      <c r="C102" s="1">
        <v>10921</v>
      </c>
      <c r="D102" s="1">
        <v>0</v>
      </c>
      <c r="E102" s="6"/>
      <c r="F102" s="1">
        <v>0</v>
      </c>
      <c r="G102" s="6"/>
      <c r="H102" s="1">
        <v>0</v>
      </c>
    </row>
    <row r="103" spans="1:8" ht="18" customHeight="1">
      <c r="A103" s="3" t="s">
        <v>81</v>
      </c>
      <c r="B103" s="3">
        <f>SUM(B100:B102)</f>
        <v>680227</v>
      </c>
      <c r="C103" s="3">
        <f>SUM(C100:C102)</f>
        <v>711402</v>
      </c>
      <c r="D103" s="3">
        <f>SUM(D100:D102)</f>
        <v>736037</v>
      </c>
      <c r="E103" s="6">
        <f>(F103-D103)/D103</f>
        <v>0.20984271171150362</v>
      </c>
      <c r="F103" s="3">
        <f>SUM(F100:F102)</f>
        <v>890489</v>
      </c>
      <c r="G103" s="6">
        <f>(H103-F103)/F103</f>
        <v>0.2142452068470245</v>
      </c>
      <c r="H103" s="3">
        <f>SUM(H100:H102)</f>
        <v>1081272</v>
      </c>
    </row>
    <row r="104" spans="1:8" ht="18" customHeight="1">
      <c r="A104" s="1" t="s">
        <v>82</v>
      </c>
      <c r="B104" s="1">
        <v>144500</v>
      </c>
      <c r="C104" s="1">
        <f>152360+12823</f>
        <v>165183</v>
      </c>
      <c r="D104" s="1">
        <v>178963</v>
      </c>
      <c r="E104" s="6">
        <f>(F104-D104)/D104</f>
        <v>0.2091996669702676</v>
      </c>
      <c r="F104" s="1">
        <v>216402</v>
      </c>
      <c r="G104" s="6">
        <f>(H104-F104)/F104</f>
        <v>0.18615354756425542</v>
      </c>
      <c r="H104" s="1">
        <v>256686</v>
      </c>
    </row>
    <row r="105" spans="1:8" ht="18" customHeight="1">
      <c r="A105" s="1" t="s">
        <v>83</v>
      </c>
      <c r="B105" s="1">
        <v>50338</v>
      </c>
      <c r="C105" s="1">
        <f>49200+4141</f>
        <v>53341</v>
      </c>
      <c r="D105" s="1">
        <v>56225</v>
      </c>
      <c r="E105" s="6">
        <f>(F105-D105)/D105</f>
        <v>0.21159626500666964</v>
      </c>
      <c r="F105" s="1">
        <v>68122</v>
      </c>
      <c r="G105" s="6">
        <f>(H105-F105)/F105</f>
        <v>0.26445201256569095</v>
      </c>
      <c r="H105" s="1">
        <v>86137</v>
      </c>
    </row>
    <row r="106" spans="1:8" ht="18" customHeight="1">
      <c r="A106" s="1" t="s">
        <v>84</v>
      </c>
      <c r="B106" s="1">
        <v>231342</v>
      </c>
      <c r="C106" s="1">
        <f>210516+19008</f>
        <v>229524</v>
      </c>
      <c r="D106" s="1">
        <v>253212</v>
      </c>
      <c r="E106" s="6">
        <f>(F106-D106)/D106</f>
        <v>0.2976438715384737</v>
      </c>
      <c r="F106" s="1">
        <v>328579</v>
      </c>
      <c r="G106" s="6">
        <f>(H106-F106)/F106</f>
        <v>0.1206467850958217</v>
      </c>
      <c r="H106" s="1">
        <v>368221</v>
      </c>
    </row>
    <row r="107" spans="1:8" ht="18" customHeight="1">
      <c r="A107" s="3" t="s">
        <v>86</v>
      </c>
      <c r="B107" s="3">
        <f>SUM(B104:B106)</f>
        <v>426180</v>
      </c>
      <c r="C107" s="3">
        <f>SUM(C104:C106)</f>
        <v>448048</v>
      </c>
      <c r="D107" s="3">
        <f>SUM(D104:D106)</f>
        <v>488400</v>
      </c>
      <c r="E107" s="6">
        <f>(F107-D107)/D107</f>
        <v>0.25532964782964784</v>
      </c>
      <c r="F107" s="3">
        <f>SUM(F104:F106)</f>
        <v>613103</v>
      </c>
      <c r="G107" s="6">
        <f>(H107-F107)/F107</f>
        <v>0.15974640476396298</v>
      </c>
      <c r="H107" s="3">
        <f>SUM(H104:H106)</f>
        <v>711044</v>
      </c>
    </row>
    <row r="108" spans="1:8" ht="18" customHeight="1">
      <c r="A108" s="1" t="s">
        <v>87</v>
      </c>
      <c r="B108" s="1">
        <v>57398</v>
      </c>
      <c r="C108" s="1">
        <v>59773</v>
      </c>
      <c r="D108" s="1">
        <v>71088</v>
      </c>
      <c r="E108" s="6">
        <f>(F108-D108)/D108</f>
        <v>-0.09185797884312402</v>
      </c>
      <c r="F108" s="1">
        <v>64558</v>
      </c>
      <c r="G108" s="6">
        <f>(H108-F108)/F108</f>
        <v>0.5102698348771647</v>
      </c>
      <c r="H108" s="1">
        <v>97500</v>
      </c>
    </row>
    <row r="109" spans="1:8" ht="18" customHeight="1">
      <c r="A109" s="1" t="s">
        <v>89</v>
      </c>
      <c r="B109" s="1">
        <v>10577</v>
      </c>
      <c r="C109" s="1">
        <v>7873</v>
      </c>
      <c r="D109" s="1">
        <v>7962</v>
      </c>
      <c r="E109" s="6">
        <f>(F109-D109)/D109</f>
        <v>1.9640793770409446</v>
      </c>
      <c r="F109" s="1">
        <v>23600</v>
      </c>
      <c r="G109" s="6">
        <f>(H109-F109)/F109</f>
        <v>-0.02754237288135593</v>
      </c>
      <c r="H109" s="1">
        <v>22950</v>
      </c>
    </row>
    <row r="110" spans="1:8" ht="18" customHeight="1">
      <c r="A110" s="1" t="s">
        <v>91</v>
      </c>
      <c r="B110" s="1">
        <v>21257</v>
      </c>
      <c r="C110" s="1">
        <v>28749</v>
      </c>
      <c r="D110" s="1">
        <v>25960</v>
      </c>
      <c r="E110" s="6">
        <f>(F110-D110)/D110</f>
        <v>0.1941448382126348</v>
      </c>
      <c r="F110" s="1">
        <v>31000</v>
      </c>
      <c r="G110" s="6">
        <f>(H110-F110)/F110</f>
        <v>0.11451612903225807</v>
      </c>
      <c r="H110" s="1">
        <v>34550</v>
      </c>
    </row>
    <row r="111" spans="1:8" ht="18" customHeight="1">
      <c r="A111" s="1" t="s">
        <v>93</v>
      </c>
      <c r="B111" s="1">
        <v>0</v>
      </c>
      <c r="C111" s="1">
        <v>620</v>
      </c>
      <c r="D111" s="1">
        <v>253</v>
      </c>
      <c r="E111" s="6">
        <f>(F111-D111)/D111</f>
        <v>8.201581027667984</v>
      </c>
      <c r="F111" s="1">
        <v>2328</v>
      </c>
      <c r="G111" s="6">
        <f>(H111-F111)/F111</f>
        <v>1.2615979381443299</v>
      </c>
      <c r="H111" s="1">
        <v>5265</v>
      </c>
    </row>
    <row r="112" spans="1:8" ht="18" customHeight="1">
      <c r="A112" s="1" t="s">
        <v>94</v>
      </c>
      <c r="B112" s="1">
        <v>0</v>
      </c>
      <c r="C112" s="1">
        <v>0</v>
      </c>
      <c r="D112" s="1">
        <v>0</v>
      </c>
      <c r="E112" s="6"/>
      <c r="F112" s="1">
        <v>0</v>
      </c>
      <c r="G112" s="6"/>
      <c r="H112" s="1">
        <v>0</v>
      </c>
    </row>
    <row r="113" spans="1:8" ht="18" customHeight="1">
      <c r="A113" s="3" t="s">
        <v>100</v>
      </c>
      <c r="B113" s="3">
        <f>B103+B107+SUM(B108:B112)</f>
        <v>1195639</v>
      </c>
      <c r="C113" s="3">
        <f>C103+C107+SUM(C108:C112)</f>
        <v>1256465</v>
      </c>
      <c r="D113" s="3">
        <f>D103+D107+SUM(D108:D112)</f>
        <v>1329700</v>
      </c>
      <c r="E113" s="7">
        <f>(F113-D113)/D113</f>
        <v>0.22213882830713694</v>
      </c>
      <c r="F113" s="3">
        <f>F103+F107+SUM(F108:F112)</f>
        <v>1625078</v>
      </c>
      <c r="G113" s="7">
        <f>(H113-F113)/F113</f>
        <v>0.20153063422186504</v>
      </c>
      <c r="H113" s="3">
        <f>H103+H107+SUM(H108:H112)</f>
        <v>1952581</v>
      </c>
    </row>
    <row r="114" spans="1:7" ht="18" customHeight="1">
      <c r="A114" s="3"/>
      <c r="E114" s="6"/>
      <c r="G114" s="6"/>
    </row>
    <row r="115" spans="1:7" ht="18" customHeight="1">
      <c r="A115" s="3" t="s">
        <v>101</v>
      </c>
      <c r="E115" s="6"/>
      <c r="G115" s="6"/>
    </row>
    <row r="116" spans="1:8" ht="18" customHeight="1">
      <c r="A116" s="1" t="s">
        <v>102</v>
      </c>
      <c r="B116" s="1">
        <v>350855</v>
      </c>
      <c r="C116" s="1">
        <v>346664</v>
      </c>
      <c r="D116" s="1">
        <v>365191</v>
      </c>
      <c r="E116" s="6">
        <f>(F116-D116)/D116</f>
        <v>0.034513446388328296</v>
      </c>
      <c r="F116" s="1">
        <v>377795</v>
      </c>
      <c r="G116" s="6">
        <f>(H116-F116)/F116</f>
        <v>0.1638057676782382</v>
      </c>
      <c r="H116" s="1">
        <v>439680</v>
      </c>
    </row>
    <row r="117" spans="1:8" ht="18" customHeight="1">
      <c r="A117" s="3" t="s">
        <v>81</v>
      </c>
      <c r="B117" s="3">
        <f>B116</f>
        <v>350855</v>
      </c>
      <c r="C117" s="3">
        <f>C116</f>
        <v>346664</v>
      </c>
      <c r="D117" s="3">
        <f>D116</f>
        <v>365191</v>
      </c>
      <c r="E117" s="6">
        <f>(F117-D117)/D117</f>
        <v>0.034513446388328296</v>
      </c>
      <c r="F117" s="3">
        <f>F116</f>
        <v>377795</v>
      </c>
      <c r="G117" s="6">
        <f>(H117-F117)/F117</f>
        <v>0.1638057676782382</v>
      </c>
      <c r="H117" s="3">
        <f>H116</f>
        <v>439680</v>
      </c>
    </row>
    <row r="118" spans="1:8" ht="18" customHeight="1">
      <c r="A118" s="1" t="s">
        <v>82</v>
      </c>
      <c r="B118" s="1">
        <v>77048</v>
      </c>
      <c r="C118" s="1">
        <v>90852</v>
      </c>
      <c r="D118" s="1">
        <v>88882</v>
      </c>
      <c r="E118" s="6">
        <f>(F118-D118)/D118</f>
        <v>0.00695303886051169</v>
      </c>
      <c r="F118" s="1">
        <v>89500</v>
      </c>
      <c r="G118" s="6">
        <f>(H118-F118)/F118</f>
        <v>0.19622346368715085</v>
      </c>
      <c r="H118" s="1">
        <v>107062</v>
      </c>
    </row>
    <row r="119" spans="1:8" ht="18" customHeight="1">
      <c r="A119" s="1" t="s">
        <v>83</v>
      </c>
      <c r="B119" s="1">
        <v>26840</v>
      </c>
      <c r="C119" s="1">
        <v>25492</v>
      </c>
      <c r="D119" s="1">
        <v>27924</v>
      </c>
      <c r="E119" s="6">
        <f>(F119-D119)/D119</f>
        <v>0.03498782409396935</v>
      </c>
      <c r="F119" s="1">
        <v>28901</v>
      </c>
      <c r="G119" s="6">
        <f>(H119-F119)/F119</f>
        <v>0.1638351614130999</v>
      </c>
      <c r="H119" s="1">
        <v>33636</v>
      </c>
    </row>
    <row r="120" spans="1:8" ht="18" customHeight="1">
      <c r="A120" s="1" t="s">
        <v>84</v>
      </c>
      <c r="B120" s="1">
        <v>126350</v>
      </c>
      <c r="C120" s="1">
        <v>113952</v>
      </c>
      <c r="D120" s="1">
        <v>112644</v>
      </c>
      <c r="E120" s="6">
        <f>(F120-D120)/D120</f>
        <v>0.059000035510102626</v>
      </c>
      <c r="F120" s="1">
        <v>119290</v>
      </c>
      <c r="G120" s="6">
        <f>(H120-F120)/F120</f>
        <v>0.1791013496521083</v>
      </c>
      <c r="H120" s="1">
        <v>140655</v>
      </c>
    </row>
    <row r="121" spans="1:8" ht="18" customHeight="1">
      <c r="A121" s="3" t="s">
        <v>86</v>
      </c>
      <c r="B121" s="3">
        <f>SUM(B118:B120)</f>
        <v>230238</v>
      </c>
      <c r="C121" s="3">
        <f>SUM(C118:C120)</f>
        <v>230296</v>
      </c>
      <c r="D121" s="3">
        <f>SUM(D118:D120)</f>
        <v>229450</v>
      </c>
      <c r="E121" s="6">
        <f>(F121-D121)/D121</f>
        <v>0.03591632163870124</v>
      </c>
      <c r="F121" s="3">
        <f>SUM(F118:F120)</f>
        <v>237691</v>
      </c>
      <c r="G121" s="6">
        <f>(H121-F121)/F121</f>
        <v>0.18369227274065908</v>
      </c>
      <c r="H121" s="3">
        <f>SUM(H118:H120)</f>
        <v>281353</v>
      </c>
    </row>
    <row r="122" spans="1:8" ht="18" customHeight="1">
      <c r="A122" s="1" t="s">
        <v>87</v>
      </c>
      <c r="B122" s="1">
        <v>0</v>
      </c>
      <c r="C122" s="1">
        <v>0</v>
      </c>
      <c r="D122" s="1">
        <v>0</v>
      </c>
      <c r="E122" s="6"/>
      <c r="F122" s="1">
        <v>0</v>
      </c>
      <c r="G122" s="6"/>
      <c r="H122" s="1">
        <v>0</v>
      </c>
    </row>
    <row r="123" spans="1:8" ht="18" customHeight="1">
      <c r="A123" s="1" t="s">
        <v>89</v>
      </c>
      <c r="B123" s="1">
        <v>0</v>
      </c>
      <c r="C123" s="1">
        <v>0</v>
      </c>
      <c r="D123" s="1">
        <v>0</v>
      </c>
      <c r="E123" s="6"/>
      <c r="F123" s="1">
        <v>0</v>
      </c>
      <c r="G123" s="6"/>
      <c r="H123" s="1">
        <v>0</v>
      </c>
    </row>
    <row r="124" spans="1:8" ht="18" customHeight="1">
      <c r="A124" s="1" t="s">
        <v>91</v>
      </c>
      <c r="B124" s="1">
        <v>0</v>
      </c>
      <c r="C124" s="1">
        <v>0</v>
      </c>
      <c r="D124" s="1">
        <v>0</v>
      </c>
      <c r="E124" s="6"/>
      <c r="F124" s="1">
        <v>0</v>
      </c>
      <c r="G124" s="6"/>
      <c r="H124" s="1">
        <v>0</v>
      </c>
    </row>
    <row r="125" spans="1:8" ht="18" customHeight="1">
      <c r="A125" s="1" t="s">
        <v>93</v>
      </c>
      <c r="B125" s="1">
        <v>0</v>
      </c>
      <c r="C125" s="1">
        <v>0</v>
      </c>
      <c r="D125" s="1">
        <v>0</v>
      </c>
      <c r="E125" s="6"/>
      <c r="F125" s="1">
        <v>0</v>
      </c>
      <c r="G125" s="6"/>
      <c r="H125" s="1">
        <v>0</v>
      </c>
    </row>
    <row r="126" spans="1:8" ht="18" customHeight="1">
      <c r="A126" s="1" t="s">
        <v>94</v>
      </c>
      <c r="B126" s="1">
        <v>0</v>
      </c>
      <c r="C126" s="1">
        <v>0</v>
      </c>
      <c r="D126" s="1">
        <v>0</v>
      </c>
      <c r="E126" s="6"/>
      <c r="F126" s="1">
        <v>0</v>
      </c>
      <c r="G126" s="6"/>
      <c r="H126" s="1">
        <v>0</v>
      </c>
    </row>
    <row r="127" spans="1:8" ht="18" customHeight="1">
      <c r="A127" s="3" t="s">
        <v>103</v>
      </c>
      <c r="B127" s="3">
        <f>B117+B121+SUM(B122:B126)</f>
        <v>581093</v>
      </c>
      <c r="C127" s="3">
        <f>C117+C121+SUM(C122:C126)</f>
        <v>576960</v>
      </c>
      <c r="D127" s="3">
        <f>D117+D121+SUM(D122:D126)</f>
        <v>594641</v>
      </c>
      <c r="E127" s="6">
        <f>(F127-D127)/D127</f>
        <v>0.0350547641349991</v>
      </c>
      <c r="F127" s="3">
        <f>F117+F121+SUM(F122:F126)</f>
        <v>615486</v>
      </c>
      <c r="G127" s="6">
        <f>(H127-F127)/F127</f>
        <v>0.17148562274365298</v>
      </c>
      <c r="H127" s="3">
        <f>H117+H121+SUM(H122:H126)</f>
        <v>721033</v>
      </c>
    </row>
    <row r="128" spans="1:7" ht="18" customHeight="1">
      <c r="A128" s="3"/>
      <c r="E128" s="6"/>
      <c r="G128" s="6"/>
    </row>
    <row r="129" spans="1:7" ht="18" customHeight="1">
      <c r="A129" s="3" t="s">
        <v>104</v>
      </c>
      <c r="E129" s="6"/>
      <c r="G129" s="6"/>
    </row>
    <row r="130" spans="1:8" ht="18" customHeight="1">
      <c r="A130" s="1" t="s">
        <v>105</v>
      </c>
      <c r="B130" s="1">
        <f>139860+315718</f>
        <v>455578</v>
      </c>
      <c r="C130" s="1">
        <f>142356+328160</f>
        <v>470516</v>
      </c>
      <c r="D130" s="1">
        <f>145152+379983</f>
        <v>525135</v>
      </c>
      <c r="E130" s="6">
        <f>(F130-D130)/D130</f>
        <v>0.07590809982195054</v>
      </c>
      <c r="F130" s="1">
        <f>147562+417435</f>
        <v>564997</v>
      </c>
      <c r="G130" s="6">
        <f>(H130-F130)/F130</f>
        <v>0.06738796843169079</v>
      </c>
      <c r="H130" s="1">
        <f>160590+442481</f>
        <v>603071</v>
      </c>
    </row>
    <row r="131" spans="1:8" ht="18" customHeight="1">
      <c r="A131" s="1" t="s">
        <v>106</v>
      </c>
      <c r="B131" s="1">
        <v>160695</v>
      </c>
      <c r="C131" s="1">
        <v>176457</v>
      </c>
      <c r="D131" s="1">
        <v>116281</v>
      </c>
      <c r="E131" s="7">
        <f>(F131-D131)/D131</f>
        <v>0.7314694576070038</v>
      </c>
      <c r="F131" s="1">
        <v>201337</v>
      </c>
      <c r="G131" s="6">
        <f>(H131-F131)/F131</f>
        <v>0.06483656754595529</v>
      </c>
      <c r="H131" s="1">
        <v>214391</v>
      </c>
    </row>
    <row r="132" spans="1:8" ht="18" customHeight="1">
      <c r="A132" s="3" t="s">
        <v>81</v>
      </c>
      <c r="B132" s="3">
        <f>B131+B130</f>
        <v>616273</v>
      </c>
      <c r="C132" s="3">
        <f>C131+C130</f>
        <v>646973</v>
      </c>
      <c r="D132" s="3">
        <f>D131+D130</f>
        <v>641416</v>
      </c>
      <c r="E132" s="7">
        <f>(F132-D132)/D132</f>
        <v>0.19475348291904163</v>
      </c>
      <c r="F132" s="3">
        <f>F131+F130</f>
        <v>766334</v>
      </c>
      <c r="G132" s="6">
        <f>(H132-F132)/F132</f>
        <v>0.06671764530870351</v>
      </c>
      <c r="H132" s="3">
        <f>H131+H130</f>
        <v>817462</v>
      </c>
    </row>
    <row r="133" spans="1:8" ht="18" customHeight="1">
      <c r="A133" s="1" t="s">
        <v>82</v>
      </c>
      <c r="B133" s="1">
        <v>135351</v>
      </c>
      <c r="C133" s="1">
        <v>151671</v>
      </c>
      <c r="D133" s="1">
        <v>149928</v>
      </c>
      <c r="E133" s="6">
        <f>(F133-D133)/D133</f>
        <v>0.19954911690944988</v>
      </c>
      <c r="F133" s="1">
        <v>179846</v>
      </c>
      <c r="G133" s="6">
        <f>(H133-F133)/F133</f>
        <v>0.10679136594642083</v>
      </c>
      <c r="H133" s="1">
        <v>199052</v>
      </c>
    </row>
    <row r="134" spans="1:8" ht="18" customHeight="1">
      <c r="A134" s="1" t="s">
        <v>83</v>
      </c>
      <c r="B134" s="1">
        <v>47151</v>
      </c>
      <c r="C134" s="1">
        <v>49092</v>
      </c>
      <c r="D134" s="1">
        <v>49694</v>
      </c>
      <c r="E134" s="6">
        <f>(F134-D134)/D134</f>
        <v>0.17969976254678632</v>
      </c>
      <c r="F134" s="1">
        <v>58624</v>
      </c>
      <c r="G134" s="6">
        <f>(H134-F134)/F134</f>
        <v>0.06673034934497817</v>
      </c>
      <c r="H134" s="1">
        <v>62536</v>
      </c>
    </row>
    <row r="135" spans="1:8" ht="18" customHeight="1">
      <c r="A135" s="1" t="s">
        <v>84</v>
      </c>
      <c r="B135" s="1">
        <v>168282</v>
      </c>
      <c r="C135" s="1">
        <v>177543</v>
      </c>
      <c r="D135" s="1">
        <v>163808</v>
      </c>
      <c r="E135" s="6">
        <f>(F135-D135)/D135</f>
        <v>0.19482564954092596</v>
      </c>
      <c r="F135" s="1">
        <v>195722</v>
      </c>
      <c r="G135" s="6">
        <f>(H135-F135)/F135</f>
        <v>0.1222959095042969</v>
      </c>
      <c r="H135" s="1">
        <v>219658</v>
      </c>
    </row>
    <row r="136" spans="1:8" ht="18" customHeight="1">
      <c r="A136" s="3" t="s">
        <v>86</v>
      </c>
      <c r="B136" s="3">
        <f>SUM(B133:B135)</f>
        <v>350784</v>
      </c>
      <c r="C136" s="3">
        <f>SUM(C133:C135)</f>
        <v>378306</v>
      </c>
      <c r="D136" s="3">
        <f>SUM(D133:D135)</f>
        <v>363430</v>
      </c>
      <c r="E136" s="6">
        <f>(F136-D136)/D136</f>
        <v>0.19470599565253283</v>
      </c>
      <c r="F136" s="3">
        <f>SUM(F133:F135)</f>
        <v>434192</v>
      </c>
      <c r="G136" s="6">
        <f>(H136-F136)/F136</f>
        <v>0.10837141172568818</v>
      </c>
      <c r="H136" s="3">
        <f>SUM(H133:H135)</f>
        <v>481246</v>
      </c>
    </row>
    <row r="137" spans="1:8" ht="18" customHeight="1">
      <c r="A137" s="1" t="s">
        <v>87</v>
      </c>
      <c r="B137" s="1">
        <v>46987</v>
      </c>
      <c r="C137" s="1">
        <v>76297</v>
      </c>
      <c r="D137" s="1">
        <v>75875</v>
      </c>
      <c r="E137" s="6">
        <f>(F137-D137)/D137</f>
        <v>-0.7034596375617792</v>
      </c>
      <c r="F137" s="1">
        <v>22500</v>
      </c>
      <c r="G137" s="6">
        <f>(H137-F137)/F137</f>
        <v>0.1111111111111111</v>
      </c>
      <c r="H137" s="1">
        <v>25000</v>
      </c>
    </row>
    <row r="138" spans="1:8" ht="18" customHeight="1">
      <c r="A138" s="1" t="s">
        <v>89</v>
      </c>
      <c r="B138" s="1">
        <v>42108</v>
      </c>
      <c r="C138" s="1">
        <v>55096</v>
      </c>
      <c r="D138" s="1">
        <v>49048</v>
      </c>
      <c r="E138" s="6">
        <f>(F138-D138)/D138</f>
        <v>1.1234301092807046</v>
      </c>
      <c r="F138" s="1">
        <v>104150</v>
      </c>
      <c r="G138" s="6">
        <f>(H138-F138)/F138</f>
        <v>0.08497359577532405</v>
      </c>
      <c r="H138" s="1">
        <v>113000</v>
      </c>
    </row>
    <row r="139" spans="1:8" ht="18" customHeight="1">
      <c r="A139" s="1" t="s">
        <v>91</v>
      </c>
      <c r="B139" s="1">
        <v>13560</v>
      </c>
      <c r="C139" s="1">
        <v>11991</v>
      </c>
      <c r="D139" s="1">
        <v>18715</v>
      </c>
      <c r="E139" s="6">
        <f>(F139-D139)/D139</f>
        <v>-0.33208656158161903</v>
      </c>
      <c r="F139" s="1">
        <v>12500</v>
      </c>
      <c r="G139" s="6">
        <f>(H139-F139)/F139</f>
        <v>0.26</v>
      </c>
      <c r="H139" s="1">
        <v>15750</v>
      </c>
    </row>
    <row r="140" spans="1:8" ht="18" customHeight="1">
      <c r="A140" s="1" t="s">
        <v>93</v>
      </c>
      <c r="B140" s="1">
        <v>0</v>
      </c>
      <c r="C140" s="1">
        <v>0</v>
      </c>
      <c r="D140" s="1">
        <v>0</v>
      </c>
      <c r="E140" s="6"/>
      <c r="F140" s="1">
        <v>0</v>
      </c>
      <c r="G140" s="6"/>
      <c r="H140" s="1">
        <v>0</v>
      </c>
    </row>
    <row r="141" spans="1:8" ht="18" customHeight="1">
      <c r="A141" s="1" t="s">
        <v>94</v>
      </c>
      <c r="B141" s="1">
        <v>17844</v>
      </c>
      <c r="C141" s="1">
        <v>16946</v>
      </c>
      <c r="D141" s="1">
        <v>19064</v>
      </c>
      <c r="E141" s="6">
        <f>(F141-D141)/D141</f>
        <v>-0.016470835081829626</v>
      </c>
      <c r="F141" s="1">
        <v>18750</v>
      </c>
      <c r="G141" s="6">
        <f>(H141-F141)/F141</f>
        <v>0.14666666666666667</v>
      </c>
      <c r="H141" s="1">
        <v>21500</v>
      </c>
    </row>
    <row r="142" spans="1:8" ht="18" customHeight="1">
      <c r="A142" s="3" t="s">
        <v>107</v>
      </c>
      <c r="B142" s="3">
        <f>B132+B136+SUM(B137:B141)</f>
        <v>1087556</v>
      </c>
      <c r="C142" s="3">
        <f>C132+C136+SUM(C137:C141)</f>
        <v>1185609</v>
      </c>
      <c r="D142" s="3">
        <f>D132+D136+SUM(D137:D141)</f>
        <v>1167548</v>
      </c>
      <c r="E142" s="6">
        <f>(F142-D142)/D142</f>
        <v>0.1634862121300366</v>
      </c>
      <c r="F142" s="3">
        <f>F132+F136+SUM(F137:F141)</f>
        <v>1358426</v>
      </c>
      <c r="G142" s="6">
        <f>(H142-F142)/F142</f>
        <v>0.08504843105182026</v>
      </c>
      <c r="H142" s="3">
        <f>H132+H136+SUM(H137:H141)</f>
        <v>1473958</v>
      </c>
    </row>
    <row r="143" spans="1:7" ht="18" customHeight="1">
      <c r="A143" s="3"/>
      <c r="E143" s="6"/>
      <c r="G143" s="6"/>
    </row>
    <row r="144" spans="1:7" ht="18" customHeight="1">
      <c r="A144" s="3" t="s">
        <v>108</v>
      </c>
      <c r="E144" s="6"/>
      <c r="G144" s="6"/>
    </row>
    <row r="145" spans="1:8" ht="18" customHeight="1">
      <c r="A145" s="1" t="s">
        <v>105</v>
      </c>
      <c r="B145" s="1">
        <v>1053445</v>
      </c>
      <c r="C145" s="1">
        <v>1086417</v>
      </c>
      <c r="D145" s="1">
        <v>1178133</v>
      </c>
      <c r="E145" s="6">
        <f>(F145-D145)/D145</f>
        <v>0.03499944403560549</v>
      </c>
      <c r="F145" s="1">
        <v>1219367</v>
      </c>
      <c r="G145" s="6">
        <f>(H145-F145)/F145</f>
        <v>0.11183999566988445</v>
      </c>
      <c r="H145" s="1">
        <v>1355741</v>
      </c>
    </row>
    <row r="146" spans="1:8" ht="18" customHeight="1">
      <c r="A146" s="1" t="s">
        <v>106</v>
      </c>
      <c r="B146" s="1">
        <v>432706</v>
      </c>
      <c r="C146" s="1">
        <v>515656</v>
      </c>
      <c r="D146" s="1">
        <v>561849</v>
      </c>
      <c r="E146" s="6">
        <f>(F146-D146)/D146</f>
        <v>0.057456718798111234</v>
      </c>
      <c r="F146" s="1">
        <v>594131</v>
      </c>
      <c r="G146" s="6">
        <f>(H146-F146)/F146</f>
        <v>0.058352450890460185</v>
      </c>
      <c r="H146" s="1">
        <v>628800</v>
      </c>
    </row>
    <row r="147" spans="1:8" ht="18" customHeight="1">
      <c r="A147" s="3" t="s">
        <v>81</v>
      </c>
      <c r="B147" s="3">
        <f>B146+B145</f>
        <v>1486151</v>
      </c>
      <c r="C147" s="3">
        <f>C146+C145</f>
        <v>1602073</v>
      </c>
      <c r="D147" s="3">
        <f>D146+D145</f>
        <v>1739982</v>
      </c>
      <c r="E147" s="6">
        <f>(F147-D147)/D147</f>
        <v>0.04225101179207601</v>
      </c>
      <c r="F147" s="3">
        <f>F146+F145</f>
        <v>1813498</v>
      </c>
      <c r="G147" s="6">
        <f>(H147-F147)/F147</f>
        <v>0.0943166190423149</v>
      </c>
      <c r="H147" s="3">
        <f>H146+H145</f>
        <v>1984541</v>
      </c>
    </row>
    <row r="148" spans="1:8" ht="18" customHeight="1">
      <c r="A148" s="1" t="s">
        <v>82</v>
      </c>
      <c r="B148" s="1">
        <v>324885</v>
      </c>
      <c r="C148" s="1">
        <v>375505</v>
      </c>
      <c r="D148" s="1">
        <v>426654</v>
      </c>
      <c r="E148" s="6">
        <f>(F148-D148)/D148</f>
        <v>0.006947081241474356</v>
      </c>
      <c r="F148" s="1">
        <v>429618</v>
      </c>
      <c r="G148" s="6">
        <f>(H148-F148)/F148</f>
        <v>0.12480389555372447</v>
      </c>
      <c r="H148" s="1">
        <v>483236</v>
      </c>
    </row>
    <row r="149" spans="1:8" ht="18" customHeight="1">
      <c r="A149" s="1" t="s">
        <v>83</v>
      </c>
      <c r="B149" s="1">
        <v>113177</v>
      </c>
      <c r="C149" s="1">
        <v>121259</v>
      </c>
      <c r="D149" s="1">
        <v>134041</v>
      </c>
      <c r="E149" s="6">
        <f>(F149-D149)/D149</f>
        <v>0.03500421512820704</v>
      </c>
      <c r="F149" s="1">
        <v>138733</v>
      </c>
      <c r="G149" s="6">
        <f>(H149-F149)/F149</f>
        <v>0.09431065427836204</v>
      </c>
      <c r="H149" s="1">
        <v>151817</v>
      </c>
    </row>
    <row r="150" spans="1:8" ht="18" customHeight="1">
      <c r="A150" s="1" t="s">
        <v>84</v>
      </c>
      <c r="B150" s="1">
        <v>399972</v>
      </c>
      <c r="C150" s="1">
        <v>493002</v>
      </c>
      <c r="D150" s="1">
        <v>546953</v>
      </c>
      <c r="E150" s="6">
        <f>(F150-D150)/D150</f>
        <v>0.05900141328413959</v>
      </c>
      <c r="F150" s="1">
        <v>579224</v>
      </c>
      <c r="G150" s="6">
        <f>(H150-F150)/F150</f>
        <v>0.06566716848749361</v>
      </c>
      <c r="H150" s="1">
        <v>617260</v>
      </c>
    </row>
    <row r="151" spans="1:8" ht="18" customHeight="1">
      <c r="A151" s="3" t="s">
        <v>86</v>
      </c>
      <c r="B151" s="3">
        <f>SUM(B148:B150)</f>
        <v>838034</v>
      </c>
      <c r="C151" s="3">
        <f>SUM(C148:C150)</f>
        <v>989766</v>
      </c>
      <c r="D151" s="3">
        <f>SUM(D148:D150)</f>
        <v>1107648</v>
      </c>
      <c r="E151" s="6">
        <f>(F151-D151)/D151</f>
        <v>0.03604665019934131</v>
      </c>
      <c r="F151" s="3">
        <f>SUM(F148:F150)</f>
        <v>1147575</v>
      </c>
      <c r="G151" s="6">
        <f>(H151-F151)/F151</f>
        <v>0.09126898024094286</v>
      </c>
      <c r="H151" s="3">
        <f>SUM(H148:H150)</f>
        <v>1252313</v>
      </c>
    </row>
    <row r="152" spans="1:8" ht="18" customHeight="1">
      <c r="A152" s="1" t="s">
        <v>87</v>
      </c>
      <c r="B152" s="1">
        <v>0</v>
      </c>
      <c r="C152" s="1">
        <v>0</v>
      </c>
      <c r="D152" s="1">
        <v>0</v>
      </c>
      <c r="E152" s="6"/>
      <c r="F152" s="1">
        <v>0</v>
      </c>
      <c r="G152" s="6"/>
      <c r="H152" s="1">
        <v>0</v>
      </c>
    </row>
    <row r="153" spans="1:8" ht="18" customHeight="1">
      <c r="A153" s="1" t="s">
        <v>89</v>
      </c>
      <c r="B153" s="1">
        <v>39311</v>
      </c>
      <c r="C153" s="1">
        <v>34128</v>
      </c>
      <c r="D153" s="1">
        <v>29493</v>
      </c>
      <c r="E153" s="6">
        <f>(F153-D153)/D153</f>
        <v>0.4410199030278371</v>
      </c>
      <c r="F153" s="1">
        <v>42500</v>
      </c>
      <c r="G153" s="6">
        <f>(H153-F153)/F153</f>
        <v>-0.07058823529411765</v>
      </c>
      <c r="H153" s="1">
        <v>39500</v>
      </c>
    </row>
    <row r="154" spans="1:8" ht="18" customHeight="1">
      <c r="A154" s="1" t="s">
        <v>91</v>
      </c>
      <c r="B154" s="1">
        <v>32222</v>
      </c>
      <c r="C154" s="1">
        <v>0</v>
      </c>
      <c r="D154" s="1">
        <v>0</v>
      </c>
      <c r="E154" s="6"/>
      <c r="F154" s="1">
        <v>0</v>
      </c>
      <c r="G154" s="6"/>
      <c r="H154" s="1">
        <v>0</v>
      </c>
    </row>
    <row r="155" spans="1:8" ht="18" customHeight="1">
      <c r="A155" s="1" t="s">
        <v>93</v>
      </c>
      <c r="B155" s="1">
        <v>0</v>
      </c>
      <c r="C155" s="1">
        <v>0</v>
      </c>
      <c r="D155" s="1">
        <v>0</v>
      </c>
      <c r="E155" s="6"/>
      <c r="F155" s="1">
        <v>0</v>
      </c>
      <c r="G155" s="6"/>
      <c r="H155" s="1">
        <v>0</v>
      </c>
    </row>
    <row r="156" spans="1:8" ht="18" customHeight="1">
      <c r="A156" s="1" t="s">
        <v>94</v>
      </c>
      <c r="B156" s="1">
        <v>0</v>
      </c>
      <c r="C156" s="1">
        <v>0</v>
      </c>
      <c r="D156" s="1">
        <v>0</v>
      </c>
      <c r="E156" s="6"/>
      <c r="F156" s="1">
        <v>0</v>
      </c>
      <c r="G156" s="6"/>
      <c r="H156" s="1">
        <v>0</v>
      </c>
    </row>
    <row r="157" spans="1:8" ht="18" customHeight="1">
      <c r="A157" s="3" t="s">
        <v>109</v>
      </c>
      <c r="B157" s="3">
        <f>B147+B151+SUM(B152:B156)</f>
        <v>2395718</v>
      </c>
      <c r="C157" s="3">
        <f>C147+C151+SUM(C152:C156)</f>
        <v>2625967</v>
      </c>
      <c r="D157" s="3">
        <f>D147+D151+SUM(D152:D156)</f>
        <v>2877123</v>
      </c>
      <c r="E157" s="6">
        <f>(F157-D157)/D157</f>
        <v>0.04395015437296216</v>
      </c>
      <c r="F157" s="3">
        <f>F147+F151+SUM(F152:F156)</f>
        <v>3003573</v>
      </c>
      <c r="G157" s="6">
        <f>(H157-F157)/F157</f>
        <v>0.09081883476779155</v>
      </c>
      <c r="H157" s="3">
        <f>H147+H151+SUM(H152:H156)</f>
        <v>3276354</v>
      </c>
    </row>
    <row r="158" spans="1:7" ht="18" customHeight="1">
      <c r="A158" s="3"/>
      <c r="E158" s="6"/>
      <c r="G158" s="6"/>
    </row>
    <row r="159" spans="1:7" ht="18" customHeight="1">
      <c r="A159" s="3" t="s">
        <v>110</v>
      </c>
      <c r="E159" s="6"/>
      <c r="G159" s="6"/>
    </row>
    <row r="160" spans="1:8" ht="18" customHeight="1">
      <c r="A160" s="1" t="s">
        <v>111</v>
      </c>
      <c r="B160" s="1">
        <v>646647</v>
      </c>
      <c r="C160" s="1">
        <v>750396</v>
      </c>
      <c r="D160" s="1">
        <v>983063</v>
      </c>
      <c r="E160" s="6">
        <f>(F160-D160)/D160</f>
        <v>-0.03710138617769156</v>
      </c>
      <c r="F160" s="1">
        <v>946590</v>
      </c>
      <c r="G160" s="6">
        <f>(H160-F160)/F160</f>
        <v>0.19277511911175904</v>
      </c>
      <c r="H160" s="1">
        <v>1129069</v>
      </c>
    </row>
    <row r="161" spans="1:8" ht="18" customHeight="1">
      <c r="A161" s="3" t="s">
        <v>81</v>
      </c>
      <c r="B161" s="3">
        <f>B160</f>
        <v>646647</v>
      </c>
      <c r="C161" s="3">
        <f>C160</f>
        <v>750396</v>
      </c>
      <c r="D161" s="3">
        <f>D160</f>
        <v>983063</v>
      </c>
      <c r="E161" s="6">
        <f>(F161-D161)/D161</f>
        <v>-0.03710138617769156</v>
      </c>
      <c r="F161" s="3">
        <f>F160</f>
        <v>946590</v>
      </c>
      <c r="G161" s="6">
        <f>(H161-F161)/F161</f>
        <v>0.19277511911175904</v>
      </c>
      <c r="H161" s="3">
        <f>H160</f>
        <v>1129069</v>
      </c>
    </row>
    <row r="162" spans="1:8" ht="18" customHeight="1">
      <c r="A162" s="1" t="s">
        <v>82</v>
      </c>
      <c r="B162" s="1">
        <v>141737</v>
      </c>
      <c r="C162" s="1">
        <v>182637</v>
      </c>
      <c r="D162" s="1">
        <v>249103</v>
      </c>
      <c r="E162" s="6">
        <f>(F162-D162)/D162</f>
        <v>-0.09296556043082581</v>
      </c>
      <c r="F162" s="1">
        <v>225945</v>
      </c>
      <c r="G162" s="6">
        <f>(H162-F162)/F162</f>
        <v>0.21679169709442564</v>
      </c>
      <c r="H162" s="1">
        <v>274928</v>
      </c>
    </row>
    <row r="163" spans="1:8" ht="18" customHeight="1">
      <c r="A163" s="1" t="s">
        <v>83</v>
      </c>
      <c r="B163" s="1">
        <v>49376</v>
      </c>
      <c r="C163" s="1">
        <v>58978</v>
      </c>
      <c r="D163" s="1">
        <v>76913</v>
      </c>
      <c r="E163" s="6">
        <f>(F163-D163)/D163</f>
        <v>-0.05849466280082691</v>
      </c>
      <c r="F163" s="1">
        <v>72414</v>
      </c>
      <c r="G163" s="6">
        <f>(H163-F163)/F163</f>
        <v>0.192780401579805</v>
      </c>
      <c r="H163" s="1">
        <v>86374</v>
      </c>
    </row>
    <row r="164" spans="1:8" ht="18" customHeight="1">
      <c r="A164" s="1" t="s">
        <v>84</v>
      </c>
      <c r="B164" s="1">
        <v>185402</v>
      </c>
      <c r="C164" s="1">
        <f>144141+234567-177543</f>
        <v>201165</v>
      </c>
      <c r="D164" s="1">
        <v>286864</v>
      </c>
      <c r="E164" s="6">
        <f>(F164-D164)/D164</f>
        <v>-0.018559317307156004</v>
      </c>
      <c r="F164" s="1">
        <v>281540</v>
      </c>
      <c r="G164" s="6">
        <f>(H164-F164)/F164</f>
        <v>0.017379413227250125</v>
      </c>
      <c r="H164" s="1">
        <v>286433</v>
      </c>
    </row>
    <row r="165" spans="1:8" ht="18" customHeight="1">
      <c r="A165" s="3" t="s">
        <v>86</v>
      </c>
      <c r="B165" s="3">
        <f>SUM(B162:B164)</f>
        <v>376515</v>
      </c>
      <c r="C165" s="3">
        <f>SUM(C162:C164)</f>
        <v>442780</v>
      </c>
      <c r="D165" s="3">
        <f>SUM(D162:D164)</f>
        <v>612880</v>
      </c>
      <c r="E165" s="6">
        <f>(F165-D165)/D165</f>
        <v>-0.0538131444981073</v>
      </c>
      <c r="F165" s="3">
        <f>SUM(F162:F164)</f>
        <v>579899</v>
      </c>
      <c r="G165" s="6">
        <f>(H165-F165)/F165</f>
        <v>0.11697899116915186</v>
      </c>
      <c r="H165" s="3">
        <f>SUM(H162:H164)</f>
        <v>647735</v>
      </c>
    </row>
    <row r="166" spans="1:8" ht="18" customHeight="1">
      <c r="A166" s="1" t="s">
        <v>87</v>
      </c>
      <c r="B166" s="1">
        <v>0</v>
      </c>
      <c r="C166" s="1">
        <v>0</v>
      </c>
      <c r="D166" s="1">
        <v>0</v>
      </c>
      <c r="E166" s="6"/>
      <c r="F166" s="1">
        <v>34000</v>
      </c>
      <c r="G166" s="6"/>
      <c r="H166" s="1">
        <v>37500</v>
      </c>
    </row>
    <row r="167" spans="1:8" ht="18" customHeight="1">
      <c r="A167" s="1" t="s">
        <v>89</v>
      </c>
      <c r="B167" s="1">
        <v>44291</v>
      </c>
      <c r="C167" s="1">
        <v>45261</v>
      </c>
      <c r="D167" s="1">
        <v>43390</v>
      </c>
      <c r="E167" s="6">
        <f>(F167-D167)/D167</f>
        <v>-0.9596681262963817</v>
      </c>
      <c r="F167" s="1">
        <v>1750</v>
      </c>
      <c r="G167" s="6">
        <f>(H167-F167)/F167</f>
        <v>-0.054857142857142854</v>
      </c>
      <c r="H167" s="1">
        <v>1654</v>
      </c>
    </row>
    <row r="168" spans="1:8" ht="18" customHeight="1">
      <c r="A168" s="1" t="s">
        <v>91</v>
      </c>
      <c r="B168" s="1">
        <v>0</v>
      </c>
      <c r="C168" s="1">
        <v>0</v>
      </c>
      <c r="D168" s="1">
        <v>0</v>
      </c>
      <c r="E168" s="6"/>
      <c r="F168" s="1">
        <v>0</v>
      </c>
      <c r="G168" s="6"/>
      <c r="H168" s="1">
        <v>0</v>
      </c>
    </row>
    <row r="169" spans="1:8" ht="18" customHeight="1">
      <c r="A169" s="1" t="s">
        <v>93</v>
      </c>
      <c r="B169" s="1">
        <v>0</v>
      </c>
      <c r="C169" s="1">
        <v>0</v>
      </c>
      <c r="D169" s="1">
        <v>0</v>
      </c>
      <c r="E169" s="6"/>
      <c r="F169" s="1">
        <v>0</v>
      </c>
      <c r="G169" s="6"/>
      <c r="H169" s="1">
        <v>0</v>
      </c>
    </row>
    <row r="170" spans="1:8" ht="18" customHeight="1">
      <c r="A170" s="1" t="s">
        <v>94</v>
      </c>
      <c r="B170" s="1">
        <v>0</v>
      </c>
      <c r="C170" s="1">
        <v>0</v>
      </c>
      <c r="D170" s="1">
        <v>0</v>
      </c>
      <c r="E170" s="6"/>
      <c r="F170" s="1">
        <v>0</v>
      </c>
      <c r="G170" s="6"/>
      <c r="H170" s="1">
        <v>0</v>
      </c>
    </row>
    <row r="171" spans="1:8" ht="18" customHeight="1">
      <c r="A171" s="3" t="s">
        <v>112</v>
      </c>
      <c r="B171" s="3">
        <f>B161+B165+SUM(B166:B170)</f>
        <v>1067453</v>
      </c>
      <c r="C171" s="3">
        <f>C161+C165+SUM(C166:C170)</f>
        <v>1238437</v>
      </c>
      <c r="D171" s="3">
        <f>D161+D165+SUM(D166:D170)</f>
        <v>1639333</v>
      </c>
      <c r="E171" s="6">
        <f>(F171-D171)/D171</f>
        <v>-0.04702766308004536</v>
      </c>
      <c r="F171" s="3">
        <f>F161+F165+SUM(F166:F170)</f>
        <v>1562239</v>
      </c>
      <c r="G171" s="7">
        <f>(H171-F171)/F171</f>
        <v>0.1624072885134733</v>
      </c>
      <c r="H171" s="3">
        <f>H161+H165+SUM(H166:H170)</f>
        <v>1815958</v>
      </c>
    </row>
    <row r="172" spans="1:7" ht="18" customHeight="1">
      <c r="A172" s="3"/>
      <c r="E172" s="6"/>
      <c r="G172" s="6"/>
    </row>
    <row r="173" spans="1:7" ht="18" customHeight="1">
      <c r="A173" s="3" t="s">
        <v>113</v>
      </c>
      <c r="E173" s="6"/>
      <c r="G173" s="6"/>
    </row>
    <row r="174" spans="1:8" ht="18" customHeight="1">
      <c r="A174" s="1" t="s">
        <v>114</v>
      </c>
      <c r="B174" s="1">
        <v>1283435</v>
      </c>
      <c r="C174" s="1">
        <v>1355542</v>
      </c>
      <c r="D174" s="1">
        <v>1406610</v>
      </c>
      <c r="E174" s="6">
        <f>(F174-D174)/D174</f>
        <v>0.04910103013628511</v>
      </c>
      <c r="F174" s="1">
        <v>1475676</v>
      </c>
      <c r="G174" s="7">
        <f>(H174-F174)/F174</f>
        <v>0.18781629571803024</v>
      </c>
      <c r="H174" s="1">
        <v>1752832</v>
      </c>
    </row>
    <row r="175" spans="1:8" ht="18" customHeight="1">
      <c r="A175" s="3" t="s">
        <v>81</v>
      </c>
      <c r="B175" s="3">
        <f>B174</f>
        <v>1283435</v>
      </c>
      <c r="C175" s="3">
        <f>C174</f>
        <v>1355542</v>
      </c>
      <c r="D175" s="3">
        <f>D174</f>
        <v>1406610</v>
      </c>
      <c r="E175" s="6">
        <f>(F175-D175)/D175</f>
        <v>0.04910103013628511</v>
      </c>
      <c r="F175" s="3">
        <f>F174</f>
        <v>1475676</v>
      </c>
      <c r="G175" s="7">
        <f>(H175-F175)/F175</f>
        <v>0.18781629571803024</v>
      </c>
      <c r="H175" s="3">
        <f>H174</f>
        <v>1752832</v>
      </c>
    </row>
    <row r="176" spans="1:8" ht="18" customHeight="1">
      <c r="A176" s="1" t="s">
        <v>82</v>
      </c>
      <c r="B176" s="1">
        <v>286908</v>
      </c>
      <c r="C176" s="1">
        <v>327500</v>
      </c>
      <c r="D176" s="1">
        <v>351483</v>
      </c>
      <c r="E176" s="6">
        <f>(F176-D176)/D176</f>
        <v>0.006947704440897568</v>
      </c>
      <c r="F176" s="1">
        <v>353925</v>
      </c>
      <c r="G176" s="7">
        <f>(H176-F176)/F176</f>
        <v>0.20594758776576957</v>
      </c>
      <c r="H176" s="1">
        <v>426815</v>
      </c>
    </row>
    <row r="177" spans="1:8" ht="18" customHeight="1">
      <c r="A177" s="1" t="s">
        <v>83</v>
      </c>
      <c r="B177" s="1">
        <v>99948</v>
      </c>
      <c r="C177" s="1">
        <v>105757</v>
      </c>
      <c r="D177" s="1">
        <v>110425</v>
      </c>
      <c r="E177" s="6">
        <f>(F177-D177)/D177</f>
        <v>0.035001131990038487</v>
      </c>
      <c r="F177" s="1">
        <v>114290</v>
      </c>
      <c r="G177" s="7">
        <f>(H177-F177)/F177</f>
        <v>0.17326100271239828</v>
      </c>
      <c r="H177" s="1">
        <v>134092</v>
      </c>
    </row>
    <row r="178" spans="1:8" ht="18" customHeight="1">
      <c r="A178" s="1" t="s">
        <v>84</v>
      </c>
      <c r="B178" s="1">
        <v>426612</v>
      </c>
      <c r="C178" s="1">
        <v>442866</v>
      </c>
      <c r="D178" s="1">
        <v>474660</v>
      </c>
      <c r="E178" s="6">
        <f>(F178-D178)/D178</f>
        <v>0.059000126406269754</v>
      </c>
      <c r="F178" s="1">
        <v>502665</v>
      </c>
      <c r="G178" s="7">
        <f>(H178-F178)/F178</f>
        <v>0.15698924731182795</v>
      </c>
      <c r="H178" s="1">
        <v>581578</v>
      </c>
    </row>
    <row r="179" spans="1:8" ht="18" customHeight="1">
      <c r="A179" s="3" t="s">
        <v>86</v>
      </c>
      <c r="B179" s="3">
        <f>SUM(B176:B178)</f>
        <v>813468</v>
      </c>
      <c r="C179" s="3">
        <f>SUM(C176:C178)</f>
        <v>876123</v>
      </c>
      <c r="D179" s="3">
        <f>SUM(D176:D178)</f>
        <v>936568</v>
      </c>
      <c r="E179" s="6">
        <f>(F179-D179)/D179</f>
        <v>0.03663588762374969</v>
      </c>
      <c r="F179" s="3">
        <f>SUM(F176:F178)</f>
        <v>970880</v>
      </c>
      <c r="G179" s="7">
        <f>(H179-F179)/F179</f>
        <v>0.17675201878707977</v>
      </c>
      <c r="H179" s="3">
        <f>SUM(H176:H178)</f>
        <v>1142485</v>
      </c>
    </row>
    <row r="180" spans="1:8" ht="18" customHeight="1">
      <c r="A180" s="1" t="s">
        <v>87</v>
      </c>
      <c r="B180" s="1">
        <v>0</v>
      </c>
      <c r="C180" s="1">
        <v>0</v>
      </c>
      <c r="D180" s="1">
        <v>0</v>
      </c>
      <c r="E180" s="6"/>
      <c r="F180" s="1">
        <v>0</v>
      </c>
      <c r="G180" s="11"/>
      <c r="H180" s="1">
        <v>0</v>
      </c>
    </row>
    <row r="181" spans="1:8" ht="18" customHeight="1">
      <c r="A181" s="1" t="s">
        <v>88</v>
      </c>
      <c r="B181" s="1">
        <v>103929</v>
      </c>
      <c r="C181" s="1">
        <v>101623</v>
      </c>
      <c r="D181" s="1">
        <v>104819</v>
      </c>
      <c r="E181" s="6">
        <f>(F181-D181)/D181</f>
        <v>-0.04091815415144201</v>
      </c>
      <c r="F181" s="1">
        <v>100530</v>
      </c>
      <c r="G181" s="7">
        <f>(H181-F181)/F181</f>
        <v>0.22474883119466826</v>
      </c>
      <c r="H181" s="1">
        <v>123124</v>
      </c>
    </row>
    <row r="182" spans="1:8" ht="18" customHeight="1">
      <c r="A182" s="1" t="s">
        <v>89</v>
      </c>
      <c r="B182" s="1">
        <v>55275</v>
      </c>
      <c r="C182" s="1">
        <v>24682</v>
      </c>
      <c r="D182" s="1">
        <v>81972</v>
      </c>
      <c r="E182" s="6">
        <f>(F182-D182)/D182</f>
        <v>-0.5864929488117894</v>
      </c>
      <c r="F182" s="1">
        <v>33896</v>
      </c>
      <c r="G182" s="7">
        <f>(H182-F182)/F182</f>
        <v>1.2318857682322397</v>
      </c>
      <c r="H182" s="1">
        <v>75652</v>
      </c>
    </row>
    <row r="183" spans="1:8" ht="18" customHeight="1">
      <c r="A183" s="1" t="s">
        <v>91</v>
      </c>
      <c r="B183" s="1">
        <v>1007201</v>
      </c>
      <c r="C183" s="1">
        <v>996651</v>
      </c>
      <c r="D183" s="1">
        <v>1034119</v>
      </c>
      <c r="E183" s="6">
        <f>(F183-D183)/D183</f>
        <v>0.221957047496468</v>
      </c>
      <c r="F183" s="1">
        <v>1263649</v>
      </c>
      <c r="G183" s="7">
        <f>(H183-F183)/F183</f>
        <v>0.12247309181584443</v>
      </c>
      <c r="H183" s="1">
        <v>1418412</v>
      </c>
    </row>
    <row r="184" spans="1:8" ht="18" customHeight="1">
      <c r="A184" s="1" t="s">
        <v>93</v>
      </c>
      <c r="B184" s="1">
        <v>0</v>
      </c>
      <c r="C184" s="1">
        <v>0</v>
      </c>
      <c r="D184" s="1">
        <v>0</v>
      </c>
      <c r="E184" s="6"/>
      <c r="F184" s="1">
        <v>0</v>
      </c>
      <c r="G184" s="11"/>
      <c r="H184" s="1">
        <v>0</v>
      </c>
    </row>
    <row r="185" spans="1:8" ht="18" customHeight="1">
      <c r="A185" s="1" t="s">
        <v>94</v>
      </c>
      <c r="B185" s="1">
        <v>3893</v>
      </c>
      <c r="C185" s="1">
        <v>4827</v>
      </c>
      <c r="D185" s="1">
        <v>1443</v>
      </c>
      <c r="E185" s="6">
        <f>(F185-D185)/D185</f>
        <v>1.5987525987525988</v>
      </c>
      <c r="F185" s="1">
        <v>3750</v>
      </c>
      <c r="G185" s="7">
        <f>(H185-F185)/F185</f>
        <v>0.3333333333333333</v>
      </c>
      <c r="H185" s="1">
        <v>5000</v>
      </c>
    </row>
    <row r="186" spans="1:8" ht="18" customHeight="1">
      <c r="A186" s="3" t="s">
        <v>115</v>
      </c>
      <c r="B186" s="3">
        <f>B175+B179+SUM(B180:B185)</f>
        <v>3267201</v>
      </c>
      <c r="C186" s="3">
        <f>C175+C179+SUM(C180:C185)</f>
        <v>3359448</v>
      </c>
      <c r="D186" s="3">
        <f>D175+D179+SUM(D180:D185)</f>
        <v>3565531</v>
      </c>
      <c r="E186" s="6">
        <f>(F186-D186)/D186</f>
        <v>0.07932899756025119</v>
      </c>
      <c r="F186" s="3">
        <f>F175+F179+SUM(F180:F185)</f>
        <v>3848381</v>
      </c>
      <c r="G186" s="7">
        <f>(H186-F186)/F186</f>
        <v>0.17387155793566178</v>
      </c>
      <c r="H186" s="3">
        <f>H175+H179+SUM(H180:H185)</f>
        <v>4517505</v>
      </c>
    </row>
    <row r="187" spans="1:7" ht="18" customHeight="1">
      <c r="A187" s="3"/>
      <c r="E187" s="6"/>
      <c r="G187" s="6"/>
    </row>
    <row r="188" spans="1:7" ht="18" customHeight="1">
      <c r="A188" s="3" t="s">
        <v>116</v>
      </c>
      <c r="E188" s="6"/>
      <c r="G188" s="6"/>
    </row>
    <row r="189" spans="1:8" ht="18" customHeight="1">
      <c r="A189" s="1" t="s">
        <v>117</v>
      </c>
      <c r="B189" s="1">
        <v>96668</v>
      </c>
      <c r="C189" s="1">
        <v>103167</v>
      </c>
      <c r="D189" s="1">
        <v>106932</v>
      </c>
      <c r="E189" s="6">
        <f>(F189-D189)/D189</f>
        <v>0.03592002394044814</v>
      </c>
      <c r="F189" s="1">
        <v>110773</v>
      </c>
      <c r="G189" s="6">
        <f>(H189-F189)/F189</f>
        <v>0.04259160625784261</v>
      </c>
      <c r="H189" s="1">
        <v>115491</v>
      </c>
    </row>
    <row r="190" spans="1:8" ht="18" customHeight="1">
      <c r="A190" s="1" t="s">
        <v>118</v>
      </c>
      <c r="B190" s="1">
        <v>475895</v>
      </c>
      <c r="C190" s="1">
        <v>492836</v>
      </c>
      <c r="D190" s="1">
        <v>492388</v>
      </c>
      <c r="E190" s="6">
        <f>(F190-D190)/D190</f>
        <v>0.06576520955019212</v>
      </c>
      <c r="F190" s="1">
        <v>524770</v>
      </c>
      <c r="G190" s="6">
        <f>(H190-F190)/F190</f>
        <v>0.038121462736055794</v>
      </c>
      <c r="H190" s="1">
        <v>544775</v>
      </c>
    </row>
    <row r="191" spans="1:8" ht="18" customHeight="1">
      <c r="A191" s="1" t="s">
        <v>119</v>
      </c>
      <c r="B191" s="1">
        <v>97585</v>
      </c>
      <c r="C191" s="1">
        <v>95915</v>
      </c>
      <c r="D191" s="1">
        <v>100271</v>
      </c>
      <c r="E191" s="6">
        <f>(F191-D191)/D191</f>
        <v>0.478373607523611</v>
      </c>
      <c r="F191" s="1">
        <v>148238</v>
      </c>
      <c r="G191" s="6">
        <f>(H191-F191)/F191</f>
        <v>0.02458883687043808</v>
      </c>
      <c r="H191" s="1">
        <v>151883</v>
      </c>
    </row>
    <row r="192" spans="1:8" ht="18" customHeight="1">
      <c r="A192" s="1" t="s">
        <v>120</v>
      </c>
      <c r="B192" s="1">
        <v>106873</v>
      </c>
      <c r="C192" s="1">
        <v>96290</v>
      </c>
      <c r="D192" s="1">
        <v>97771</v>
      </c>
      <c r="E192" s="6">
        <f>(F192-D192)/D192</f>
        <v>0.053369608575139865</v>
      </c>
      <c r="F192" s="1">
        <v>102989</v>
      </c>
      <c r="G192" s="6">
        <f>(H192-F192)/F192</f>
        <v>0.1287321947004049</v>
      </c>
      <c r="H192" s="1">
        <v>116247</v>
      </c>
    </row>
    <row r="193" spans="1:8" ht="18" customHeight="1">
      <c r="A193" s="3" t="s">
        <v>81</v>
      </c>
      <c r="B193" s="3">
        <f>SUM(B189:B192)</f>
        <v>777021</v>
      </c>
      <c r="C193" s="3">
        <f>SUM(C189:C192)</f>
        <v>788208</v>
      </c>
      <c r="D193" s="3">
        <f>SUM(D189:D192)</f>
        <v>797362</v>
      </c>
      <c r="E193" s="6">
        <f>(F193-D193)/D193</f>
        <v>0.11212974784351398</v>
      </c>
      <c r="F193" s="3">
        <f>SUM(F189:F192)</f>
        <v>886770</v>
      </c>
      <c r="G193" s="6">
        <f>(H193-F193)/F193</f>
        <v>0.04694114595667422</v>
      </c>
      <c r="H193" s="3">
        <f>SUM(H189:H192)</f>
        <v>928396</v>
      </c>
    </row>
    <row r="194" spans="1:8" ht="18" customHeight="1">
      <c r="A194" s="1" t="s">
        <v>82</v>
      </c>
      <c r="B194" s="1">
        <v>171660</v>
      </c>
      <c r="C194" s="1">
        <v>191420</v>
      </c>
      <c r="D194" s="1">
        <v>197757</v>
      </c>
      <c r="E194" s="6">
        <f>(F194-D194)/D194</f>
        <v>0.06229362298174022</v>
      </c>
      <c r="F194" s="1">
        <v>210076</v>
      </c>
      <c r="G194" s="6">
        <f>(H194-F194)/F194</f>
        <v>0.07610579028542051</v>
      </c>
      <c r="H194" s="1">
        <v>226064</v>
      </c>
    </row>
    <row r="195" spans="1:8" ht="18" customHeight="1">
      <c r="A195" s="1" t="s">
        <v>83</v>
      </c>
      <c r="B195" s="1">
        <v>59800</v>
      </c>
      <c r="C195" s="1">
        <v>61814</v>
      </c>
      <c r="D195" s="1">
        <v>62129</v>
      </c>
      <c r="E195" s="6">
        <f>(F195-D195)/D195</f>
        <v>0.0918894558096863</v>
      </c>
      <c r="F195" s="1">
        <v>67838</v>
      </c>
      <c r="G195" s="6">
        <f>(H195-F195)/F195</f>
        <v>0.04693534597128453</v>
      </c>
      <c r="H195" s="1">
        <v>71022</v>
      </c>
    </row>
    <row r="196" spans="1:8" ht="18" customHeight="1">
      <c r="A196" s="1" t="s">
        <v>84</v>
      </c>
      <c r="B196" s="1">
        <v>216883</v>
      </c>
      <c r="C196" s="1">
        <v>227139</v>
      </c>
      <c r="D196" s="1">
        <v>220698</v>
      </c>
      <c r="E196" s="6">
        <f>(F196-D196)/D196</f>
        <v>0.14508967004685136</v>
      </c>
      <c r="F196" s="1">
        <v>252719</v>
      </c>
      <c r="G196" s="6">
        <f>(H196-F196)/F196</f>
        <v>0.14110138137615297</v>
      </c>
      <c r="H196" s="1">
        <v>288378</v>
      </c>
    </row>
    <row r="197" spans="1:8" ht="18" customHeight="1">
      <c r="A197" s="3" t="s">
        <v>86</v>
      </c>
      <c r="B197" s="3">
        <f>SUM(B194:B196)</f>
        <v>448343</v>
      </c>
      <c r="C197" s="3">
        <f>SUM(C194:C196)</f>
        <v>480373</v>
      </c>
      <c r="D197" s="3">
        <f>SUM(D194:D196)</f>
        <v>480584</v>
      </c>
      <c r="E197" s="6">
        <f>(F197-D197)/D197</f>
        <v>0.10414204384665324</v>
      </c>
      <c r="F197" s="3">
        <f>SUM(F194:F196)</f>
        <v>530633</v>
      </c>
      <c r="G197" s="6">
        <f>(H197-F197)/F197</f>
        <v>0.10333130431013525</v>
      </c>
      <c r="H197" s="3">
        <f>SUM(H194:H196)</f>
        <v>585464</v>
      </c>
    </row>
    <row r="198" spans="1:8" ht="18" customHeight="1">
      <c r="A198" s="1" t="s">
        <v>121</v>
      </c>
      <c r="B198" s="1">
        <v>1736</v>
      </c>
      <c r="C198" s="1">
        <v>5425</v>
      </c>
      <c r="D198" s="1">
        <v>2675</v>
      </c>
      <c r="E198" s="6">
        <f>(F198-D198)/D198</f>
        <v>0.4953271028037383</v>
      </c>
      <c r="F198" s="1">
        <v>4000</v>
      </c>
      <c r="G198" s="6">
        <f>(H198-F198)/F198</f>
        <v>-0.1875</v>
      </c>
      <c r="H198" s="1">
        <v>3250</v>
      </c>
    </row>
    <row r="199" spans="1:8" ht="18" customHeight="1">
      <c r="A199" s="1" t="s">
        <v>122</v>
      </c>
      <c r="B199" s="1">
        <v>5650</v>
      </c>
      <c r="C199" s="1">
        <v>10550</v>
      </c>
      <c r="D199" s="1">
        <v>11985</v>
      </c>
      <c r="E199" s="6">
        <f>(F199-D199)/D199</f>
        <v>-0.06132665832290363</v>
      </c>
      <c r="F199" s="1">
        <v>11250</v>
      </c>
      <c r="G199" s="6">
        <f>(H199-F199)/F199</f>
        <v>0</v>
      </c>
      <c r="H199" s="1">
        <v>11250</v>
      </c>
    </row>
    <row r="200" spans="1:8" ht="18" customHeight="1">
      <c r="A200" s="1" t="s">
        <v>123</v>
      </c>
      <c r="B200" s="1">
        <v>228420</v>
      </c>
      <c r="C200" s="1">
        <v>194802</v>
      </c>
      <c r="D200" s="1">
        <v>115977</v>
      </c>
      <c r="E200" s="6">
        <f>(F200-D200)/D200</f>
        <v>0.5089198720435949</v>
      </c>
      <c r="F200" s="1">
        <v>175000</v>
      </c>
      <c r="G200" s="6">
        <f>(H200-F200)/F200</f>
        <v>-0.19857142857142857</v>
      </c>
      <c r="H200" s="1">
        <v>140250</v>
      </c>
    </row>
    <row r="201" spans="1:8" ht="18" customHeight="1">
      <c r="A201" s="1" t="s">
        <v>124</v>
      </c>
      <c r="B201" s="1">
        <v>36075</v>
      </c>
      <c r="C201" s="1">
        <v>18727</v>
      </c>
      <c r="D201" s="1">
        <v>28020</v>
      </c>
      <c r="E201" s="6">
        <f>(F201-D201)/D201</f>
        <v>-0.19700214132762311</v>
      </c>
      <c r="F201" s="1">
        <v>22500</v>
      </c>
      <c r="G201" s="6">
        <f>(H201-F201)/F201</f>
        <v>1.1111111111111112</v>
      </c>
      <c r="H201" s="1">
        <v>47500</v>
      </c>
    </row>
    <row r="202" spans="1:8" ht="18" customHeight="1">
      <c r="A202" s="1" t="s">
        <v>125</v>
      </c>
      <c r="B202" s="1">
        <f>30051+11019+12491+157756+473</f>
        <v>211790</v>
      </c>
      <c r="C202" s="1">
        <f>10651+10517+19429+171654+1040</f>
        <v>213291</v>
      </c>
      <c r="D202" s="1">
        <f>383735-115977-28020</f>
        <v>239738</v>
      </c>
      <c r="E202" s="6">
        <f>(F202-D202)/D202</f>
        <v>-0.14802826418840567</v>
      </c>
      <c r="F202" s="1">
        <f>10250+20250+172750+1000</f>
        <v>204250</v>
      </c>
      <c r="G202" s="6">
        <f>(H202-F202)/F202</f>
        <v>0.22399020807833536</v>
      </c>
      <c r="H202" s="1">
        <f>7500+27500+212500+2500</f>
        <v>250000</v>
      </c>
    </row>
    <row r="203" spans="1:8" ht="18" customHeight="1">
      <c r="A203" s="1" t="s">
        <v>93</v>
      </c>
      <c r="B203" s="1">
        <v>16118</v>
      </c>
      <c r="C203" s="1">
        <v>24776</v>
      </c>
      <c r="D203" s="1">
        <v>19573</v>
      </c>
      <c r="E203" s="6">
        <f>(F203-D203)/D203</f>
        <v>-1</v>
      </c>
      <c r="F203" s="1">
        <v>0</v>
      </c>
      <c r="G203" s="6" t="e">
        <f>(H203-F203)/F203</f>
        <v>#DIV/0!</v>
      </c>
      <c r="H203" s="1">
        <v>12500</v>
      </c>
    </row>
    <row r="204" spans="1:8" ht="18" customHeight="1">
      <c r="A204" s="1" t="s">
        <v>126</v>
      </c>
      <c r="B204" s="1">
        <v>0</v>
      </c>
      <c r="C204" s="1">
        <v>0</v>
      </c>
      <c r="D204" s="1">
        <v>0</v>
      </c>
      <c r="E204" s="6"/>
      <c r="F204" s="1">
        <v>0</v>
      </c>
      <c r="G204" s="6"/>
      <c r="H204" s="1">
        <v>0</v>
      </c>
    </row>
    <row r="205" spans="1:8" ht="18" customHeight="1">
      <c r="A205" s="1" t="s">
        <v>94</v>
      </c>
      <c r="B205" s="1">
        <v>11575</v>
      </c>
      <c r="C205" s="1">
        <v>13696</v>
      </c>
      <c r="D205" s="1">
        <v>10932</v>
      </c>
      <c r="E205" s="6">
        <f>(F205-D205)/D205</f>
        <v>0.14343212586900841</v>
      </c>
      <c r="F205" s="1">
        <v>12500</v>
      </c>
      <c r="G205" s="6">
        <f>(H205-F205)/F205</f>
        <v>0.14</v>
      </c>
      <c r="H205" s="1">
        <v>14250</v>
      </c>
    </row>
    <row r="206" spans="1:8" ht="18" customHeight="1">
      <c r="A206" s="3" t="s">
        <v>127</v>
      </c>
      <c r="B206" s="3">
        <f>B193+B197+SUM(B198:B205)</f>
        <v>1736728</v>
      </c>
      <c r="C206" s="3">
        <f>C193+C197+SUM(C198:C205)</f>
        <v>1749848</v>
      </c>
      <c r="D206" s="3">
        <f>D193+D197+SUM(D198:D205)</f>
        <v>1706846</v>
      </c>
      <c r="E206" s="6">
        <f>(F206-D206)/D206</f>
        <v>0.08205602614412782</v>
      </c>
      <c r="F206" s="3">
        <f>F193+F197+SUM(F198:F205)</f>
        <v>1846903</v>
      </c>
      <c r="G206" s="6">
        <f>(H206-F206)/F206</f>
        <v>0.07902797277388146</v>
      </c>
      <c r="H206" s="3">
        <f>H193+H197+SUM(H198:H205)</f>
        <v>1992860</v>
      </c>
    </row>
    <row r="207" spans="1:7" ht="18" customHeight="1">
      <c r="A207" s="3"/>
      <c r="E207" s="6"/>
      <c r="G207" s="6"/>
    </row>
    <row r="208" spans="1:7" ht="18" customHeight="1">
      <c r="A208" s="3" t="s">
        <v>128</v>
      </c>
      <c r="E208" s="6"/>
      <c r="G208" s="6"/>
    </row>
    <row r="209" spans="1:8" ht="18" customHeight="1">
      <c r="A209" s="1" t="s">
        <v>80</v>
      </c>
      <c r="B209" s="1">
        <v>141545</v>
      </c>
      <c r="C209" s="1">
        <v>140306</v>
      </c>
      <c r="D209" s="1">
        <v>144037</v>
      </c>
      <c r="E209" s="6">
        <f>(F209-D209)/D209</f>
        <v>0.045217548268847586</v>
      </c>
      <c r="F209" s="1">
        <v>150550</v>
      </c>
      <c r="G209" s="7">
        <f>(H209-F209)/F209</f>
        <v>1.1078047160411824</v>
      </c>
      <c r="H209" s="1">
        <v>317330</v>
      </c>
    </row>
    <row r="210" spans="1:8" ht="18" customHeight="1">
      <c r="A210" s="3" t="s">
        <v>81</v>
      </c>
      <c r="B210" s="3">
        <f>B209</f>
        <v>141545</v>
      </c>
      <c r="C210" s="3">
        <f>C209</f>
        <v>140306</v>
      </c>
      <c r="D210" s="3">
        <f>D209</f>
        <v>144037</v>
      </c>
      <c r="E210" s="6">
        <f>(F210-D210)/D210</f>
        <v>0.045217548268847586</v>
      </c>
      <c r="F210" s="3">
        <f>F209</f>
        <v>150550</v>
      </c>
      <c r="G210" s="7">
        <f>(H210-F210)/F210</f>
        <v>1.1078047160411824</v>
      </c>
      <c r="H210" s="3">
        <f>H209</f>
        <v>317330</v>
      </c>
    </row>
    <row r="211" spans="1:8" ht="18" customHeight="1">
      <c r="A211" s="1" t="s">
        <v>82</v>
      </c>
      <c r="B211" s="1">
        <v>19997</v>
      </c>
      <c r="C211" s="1">
        <v>22004</v>
      </c>
      <c r="D211" s="1">
        <v>22884</v>
      </c>
      <c r="E211" s="6">
        <f>(F211-D211)/D211</f>
        <v>0.020013983569306067</v>
      </c>
      <c r="F211" s="1">
        <v>23342</v>
      </c>
      <c r="G211" s="7">
        <f>(H211-F211)/F211</f>
        <v>0.44070773712621025</v>
      </c>
      <c r="H211" s="1">
        <v>33629</v>
      </c>
    </row>
    <row r="212" spans="1:8" ht="18" customHeight="1">
      <c r="A212" s="1" t="s">
        <v>83</v>
      </c>
      <c r="B212" s="1">
        <v>10932</v>
      </c>
      <c r="C212" s="1">
        <v>10871</v>
      </c>
      <c r="D212" s="1">
        <v>11291</v>
      </c>
      <c r="E212" s="6">
        <f>(F212-D212)/D212</f>
        <v>0.02001594190062882</v>
      </c>
      <c r="F212" s="1">
        <v>11517</v>
      </c>
      <c r="G212" s="7">
        <f>(H212-F212)/F212</f>
        <v>1.1078405834852827</v>
      </c>
      <c r="H212" s="1">
        <v>24276</v>
      </c>
    </row>
    <row r="213" spans="1:8" ht="18" customHeight="1">
      <c r="A213" s="1" t="s">
        <v>84</v>
      </c>
      <c r="B213" s="1">
        <v>36120</v>
      </c>
      <c r="C213" s="1">
        <v>38016</v>
      </c>
      <c r="D213" s="1">
        <v>27012</v>
      </c>
      <c r="E213" s="6">
        <f>(F213-D213)/D213</f>
        <v>0.05901081001036576</v>
      </c>
      <c r="F213" s="1">
        <v>28606</v>
      </c>
      <c r="G213" s="7">
        <f>(H213-F213)/F213</f>
        <v>0.7440746696497238</v>
      </c>
      <c r="H213" s="1">
        <v>49891</v>
      </c>
    </row>
    <row r="214" spans="1:8" ht="18" customHeight="1">
      <c r="A214" s="3" t="s">
        <v>86</v>
      </c>
      <c r="B214" s="3">
        <f>SUM(B211:B213)</f>
        <v>67049</v>
      </c>
      <c r="C214" s="3">
        <f>SUM(C211:C213)</f>
        <v>70891</v>
      </c>
      <c r="D214" s="3">
        <f>SUM(D211:D213)</f>
        <v>61187</v>
      </c>
      <c r="E214" s="6">
        <f>(F214-D214)/D214</f>
        <v>0.03723013058329384</v>
      </c>
      <c r="F214" s="3">
        <f>SUM(F211:F213)</f>
        <v>63465</v>
      </c>
      <c r="G214" s="7">
        <f>(H214-F214)/F214</f>
        <v>0.6985109903096195</v>
      </c>
      <c r="H214" s="3">
        <f>SUM(H211:H213)</f>
        <v>107796</v>
      </c>
    </row>
    <row r="215" spans="1:8" ht="18" customHeight="1">
      <c r="A215" s="1" t="s">
        <v>87</v>
      </c>
      <c r="B215" s="1">
        <v>0</v>
      </c>
      <c r="C215" s="1">
        <v>0</v>
      </c>
      <c r="D215" s="1">
        <v>0</v>
      </c>
      <c r="E215" s="6"/>
      <c r="F215" s="1">
        <v>0</v>
      </c>
      <c r="G215" s="6"/>
      <c r="H215" s="1">
        <v>0</v>
      </c>
    </row>
    <row r="216" spans="1:8" ht="18" customHeight="1">
      <c r="A216" s="1" t="s">
        <v>88</v>
      </c>
      <c r="B216" s="1">
        <v>0</v>
      </c>
      <c r="C216" s="1">
        <v>0</v>
      </c>
      <c r="D216" s="1">
        <v>0</v>
      </c>
      <c r="E216" s="6"/>
      <c r="F216" s="1">
        <v>2578</v>
      </c>
      <c r="G216" s="6"/>
      <c r="H216" s="1">
        <v>6046</v>
      </c>
    </row>
    <row r="217" spans="1:8" ht="18" customHeight="1">
      <c r="A217" s="1" t="s">
        <v>89</v>
      </c>
      <c r="B217" s="1">
        <v>1547</v>
      </c>
      <c r="C217" s="1">
        <v>2492</v>
      </c>
      <c r="D217" s="1">
        <v>2060</v>
      </c>
      <c r="E217" s="6">
        <f>(F217-D217)/D217</f>
        <v>0.2</v>
      </c>
      <c r="F217" s="1">
        <v>2472</v>
      </c>
      <c r="G217" s="6">
        <f>(H217-F217)/F217</f>
        <v>0.011326860841423949</v>
      </c>
      <c r="H217" s="1">
        <v>2500</v>
      </c>
    </row>
    <row r="218" spans="1:8" ht="18" customHeight="1">
      <c r="A218" s="1" t="s">
        <v>91</v>
      </c>
      <c r="B218" s="1">
        <v>115719</v>
      </c>
      <c r="C218" s="1">
        <v>21231</v>
      </c>
      <c r="D218" s="1">
        <v>6806</v>
      </c>
      <c r="E218" s="7">
        <f>(F218-D218)/D218</f>
        <v>19.829415221863062</v>
      </c>
      <c r="F218" s="1">
        <v>141765</v>
      </c>
      <c r="G218" s="6">
        <f>(H218-F218)/F218</f>
        <v>-0.2621803689203964</v>
      </c>
      <c r="H218" s="1">
        <v>104597</v>
      </c>
    </row>
    <row r="219" spans="1:8" ht="18" customHeight="1">
      <c r="A219" s="1" t="s">
        <v>93</v>
      </c>
      <c r="B219" s="1">
        <v>0</v>
      </c>
      <c r="C219" s="1">
        <v>0</v>
      </c>
      <c r="D219" s="1">
        <v>0</v>
      </c>
      <c r="E219" s="6"/>
      <c r="F219" s="1">
        <v>0</v>
      </c>
      <c r="G219" s="6"/>
      <c r="H219" s="1">
        <v>0</v>
      </c>
    </row>
    <row r="220" spans="1:8" ht="18" customHeight="1">
      <c r="A220" s="1" t="s">
        <v>94</v>
      </c>
      <c r="B220" s="1">
        <v>0</v>
      </c>
      <c r="C220" s="1">
        <v>0</v>
      </c>
      <c r="D220" s="1">
        <v>0</v>
      </c>
      <c r="E220" s="6"/>
      <c r="F220" s="1">
        <v>0</v>
      </c>
      <c r="G220" s="6"/>
      <c r="H220" s="1">
        <v>0</v>
      </c>
    </row>
    <row r="221" spans="1:8" ht="18" customHeight="1">
      <c r="A221" s="3" t="s">
        <v>129</v>
      </c>
      <c r="B221" s="3">
        <f>B210+B214+SUM(B215:B220)</f>
        <v>325860</v>
      </c>
      <c r="C221" s="3">
        <f>C210+C214+SUM(C215:C220)</f>
        <v>234920</v>
      </c>
      <c r="D221" s="3">
        <f>D210+D214+SUM(D215:D220)</f>
        <v>214090</v>
      </c>
      <c r="E221" s="6">
        <f>(F221-D221)/D221</f>
        <v>0.6854126769115793</v>
      </c>
      <c r="F221" s="3">
        <f>F210+F214+SUM(F215:F220)</f>
        <v>360830</v>
      </c>
      <c r="G221" s="6">
        <f>(H221-F221)/F221</f>
        <v>0.4917523487514896</v>
      </c>
      <c r="H221" s="3">
        <f>H210+H214+SUM(H215:H220)</f>
        <v>538269</v>
      </c>
    </row>
    <row r="222" spans="1:7" ht="18" customHeight="1">
      <c r="A222" s="3"/>
      <c r="E222" s="6"/>
      <c r="G222" s="6"/>
    </row>
    <row r="223" spans="1:7" ht="18" customHeight="1">
      <c r="A223" s="3" t="s">
        <v>130</v>
      </c>
      <c r="E223" s="6"/>
      <c r="G223" s="6"/>
    </row>
    <row r="224" spans="1:7" ht="18" customHeight="1">
      <c r="A224" s="3" t="s">
        <v>131</v>
      </c>
      <c r="E224" s="6"/>
      <c r="G224" s="6"/>
    </row>
    <row r="225" spans="1:8" ht="18" customHeight="1">
      <c r="A225" s="1" t="s">
        <v>132</v>
      </c>
      <c r="B225" s="1">
        <f>B20</f>
        <v>18864359</v>
      </c>
      <c r="C225" s="1">
        <f>C20</f>
        <v>18954356</v>
      </c>
      <c r="D225" s="1">
        <f>D20</f>
        <v>21019820</v>
      </c>
      <c r="E225" s="6">
        <f>(F225-D225)/D225</f>
        <v>0.13918882273968092</v>
      </c>
      <c r="F225" s="1">
        <f>F20</f>
        <v>23945544</v>
      </c>
      <c r="G225" s="6">
        <f>(H225-F225)/F225</f>
        <v>0.04999097118027471</v>
      </c>
      <c r="H225" s="1">
        <f>H20</f>
        <v>25142605</v>
      </c>
    </row>
    <row r="226" spans="1:8" ht="18" customHeight="1">
      <c r="A226" s="1" t="s">
        <v>133</v>
      </c>
      <c r="B226" s="1">
        <f>B57</f>
        <v>19917075</v>
      </c>
      <c r="C226" s="1">
        <f>C57</f>
        <v>21701350</v>
      </c>
      <c r="D226" s="1">
        <f>D57</f>
        <v>22676906</v>
      </c>
      <c r="E226" s="6">
        <f>(F226-D226)/D226</f>
        <v>0.062162580733015345</v>
      </c>
      <c r="F226" s="1">
        <f>F57</f>
        <v>24086561</v>
      </c>
      <c r="G226" s="6">
        <f>(H226-F226)/F226</f>
        <v>0.1404734781357953</v>
      </c>
      <c r="H226" s="1">
        <f>H57</f>
        <v>27470084</v>
      </c>
    </row>
    <row r="227" spans="1:8" ht="18" customHeight="1">
      <c r="A227" s="1" t="s">
        <v>134</v>
      </c>
      <c r="B227" s="1">
        <f>B73</f>
        <v>2142027</v>
      </c>
      <c r="C227" s="1">
        <f>C73</f>
        <v>2404795</v>
      </c>
      <c r="D227" s="1">
        <f>D73</f>
        <v>2537577</v>
      </c>
      <c r="E227" s="6">
        <f>(F227-D227)/D227</f>
        <v>-0.12575184910645076</v>
      </c>
      <c r="F227" s="1">
        <f>F73</f>
        <v>2218472</v>
      </c>
      <c r="G227" s="6">
        <f>(H227-F227)/F227</f>
        <v>-0.13399628212571535</v>
      </c>
      <c r="H227" s="1">
        <f>H73</f>
        <v>1921205</v>
      </c>
    </row>
    <row r="228" spans="1:8" ht="18" customHeight="1">
      <c r="A228" s="3" t="s">
        <v>74</v>
      </c>
      <c r="B228" s="3">
        <f>SUM(B225:B227)</f>
        <v>40923461</v>
      </c>
      <c r="C228" s="3">
        <f>SUM(C225:C227)</f>
        <v>43060501</v>
      </c>
      <c r="D228" s="3">
        <f>SUM(D225:D227)</f>
        <v>46234303</v>
      </c>
      <c r="E228" s="6">
        <f>(F228-D228)/D228</f>
        <v>0.08686783923183615</v>
      </c>
      <c r="F228" s="3">
        <f>SUM(F225:F227)</f>
        <v>50250577</v>
      </c>
      <c r="G228" s="6">
        <f>(H228-F228)/F228</f>
        <v>0.0852391605374004</v>
      </c>
      <c r="H228" s="3">
        <f>SUM(H225:H227)</f>
        <v>54533894</v>
      </c>
    </row>
    <row r="229" spans="1:7" ht="18" customHeight="1">
      <c r="A229" s="3"/>
      <c r="E229" s="6"/>
      <c r="G229" s="6"/>
    </row>
    <row r="230" spans="1:7" ht="18" customHeight="1">
      <c r="A230" s="3" t="s">
        <v>135</v>
      </c>
      <c r="E230" s="6"/>
      <c r="G230" s="6"/>
    </row>
    <row r="231" spans="1:8" ht="18" customHeight="1">
      <c r="A231" s="1" t="s">
        <v>136</v>
      </c>
      <c r="B231" s="1">
        <f>B83+B103+B117+B132+B147+B161+B175+B193+B210</f>
        <v>23775768</v>
      </c>
      <c r="C231" s="1">
        <f>C83+C103+C117+C132+C147+C161+C175+C193+C210</f>
        <v>24933351</v>
      </c>
      <c r="D231" s="1">
        <f>D83+D103+D117+D132+D147+D161+D175+D193+D210</f>
        <v>26487470</v>
      </c>
      <c r="E231" s="6">
        <f>(F231-D231)/D231</f>
        <v>0.09570834813592993</v>
      </c>
      <c r="F231" s="1">
        <f>F83+F103+F117+F132+F147+F161+F175+F193+F210</f>
        <v>29022542</v>
      </c>
      <c r="G231" s="6">
        <f>(H231-F231)/F231</f>
        <v>0.06095475716772156</v>
      </c>
      <c r="H231" s="1">
        <f>H83+H103+H117+H132+H147+H161+H175+H193+H210</f>
        <v>30791604</v>
      </c>
    </row>
    <row r="232" spans="1:8" ht="18" customHeight="1">
      <c r="A232" s="1" t="s">
        <v>137</v>
      </c>
      <c r="B232" s="1">
        <f>B88+B107+B121+B136+B151+B165+B179+B197+B214</f>
        <v>13616576</v>
      </c>
      <c r="C232" s="1">
        <f>C88+C107+C121+C136+C151+C165+C179+C197+C214</f>
        <v>15211313</v>
      </c>
      <c r="D232" s="1">
        <f>D88+D107+D121+D136+D151+D165+D179+D197+D214</f>
        <v>15947903</v>
      </c>
      <c r="E232" s="6">
        <f>(F232-D232)/D232</f>
        <v>0.05874715942277803</v>
      </c>
      <c r="F232" s="1">
        <f>F88+F107+F121+F136+F151+F165+F179+F197+F214</f>
        <v>16884797</v>
      </c>
      <c r="G232" s="6">
        <f>(H232-F232)/F232</f>
        <v>0.11924602943109118</v>
      </c>
      <c r="H232" s="1">
        <f>H88+H107+H121+H136+H151+H165+H179+H197+H214</f>
        <v>18898242</v>
      </c>
    </row>
    <row r="233" spans="1:8" ht="18" customHeight="1">
      <c r="A233" s="1" t="s">
        <v>138</v>
      </c>
      <c r="B233" s="1">
        <v>922092</v>
      </c>
      <c r="C233" s="1">
        <f>C89+C108+C122+C137+C152+C166+C180+C215</f>
        <v>1067809</v>
      </c>
      <c r="D233" s="1">
        <f>D89+D108+D122+D137+D152+D166+D180+D215</f>
        <v>1178768</v>
      </c>
      <c r="E233" s="6">
        <f>(F233-D233)/D233</f>
        <v>-0.12970321556065315</v>
      </c>
      <c r="F233" s="1">
        <f>F89+F108+F122+F137+F152+F166+F180+F215</f>
        <v>1025878</v>
      </c>
      <c r="G233" s="6">
        <f>(H233-F233)/F233</f>
        <v>0.06319074977726397</v>
      </c>
      <c r="H233" s="1">
        <f>H89+H108+H122+H137+H152+H166+H180+H215</f>
        <v>1090704</v>
      </c>
    </row>
    <row r="234" spans="1:8" ht="18" customHeight="1">
      <c r="A234" s="1" t="s">
        <v>139</v>
      </c>
      <c r="B234" s="1">
        <v>106704</v>
      </c>
      <c r="C234" s="1">
        <f>C181</f>
        <v>101623</v>
      </c>
      <c r="D234" s="1">
        <f>D181+D90+D216</f>
        <v>109319</v>
      </c>
      <c r="E234" s="6">
        <f>(F234-D234)/D234</f>
        <v>0.004244458877230856</v>
      </c>
      <c r="F234" s="1">
        <f>F181+F90+F216</f>
        <v>109783</v>
      </c>
      <c r="G234" s="6">
        <f>(H234-F234)/F234</f>
        <v>0.2585737318164014</v>
      </c>
      <c r="H234" s="1">
        <f>H181+H90+H216</f>
        <v>138170</v>
      </c>
    </row>
    <row r="235" spans="1:8" ht="18" customHeight="1">
      <c r="A235" s="1" t="s">
        <v>140</v>
      </c>
      <c r="B235" s="1">
        <v>598385</v>
      </c>
      <c r="C235" s="1">
        <f>C91+C92+C109+C123+C138+C153+C167+C182+C198+C199+C217</f>
        <v>498402</v>
      </c>
      <c r="D235" s="1">
        <f>D91+D92+D109+D123+D138+D153+D167+D182+D198+D199+D217</f>
        <v>664637</v>
      </c>
      <c r="E235" s="6">
        <f>(F235-D235)/D235</f>
        <v>-0.2921895711493642</v>
      </c>
      <c r="F235" s="1">
        <f>F91+F92+F109+F123+F138+F153+F167+F182+F198+F199+F217</f>
        <v>470437</v>
      </c>
      <c r="G235" s="6">
        <f>(H235-F235)/F235</f>
        <v>0.23838261021135668</v>
      </c>
      <c r="H235" s="1">
        <f>H91+H92+H109+H123+H138+H153+H167+H182+H198+H199+H217</f>
        <v>582581</v>
      </c>
    </row>
    <row r="236" spans="1:8" ht="18" customHeight="1">
      <c r="A236" s="1" t="s">
        <v>141</v>
      </c>
      <c r="B236" s="1">
        <v>2321702</v>
      </c>
      <c r="C236" s="1">
        <f>C93+C110+C124+C139+C154+C168+C183+C200+C201+C202+C218+C94</f>
        <v>2180082</v>
      </c>
      <c r="D236" s="1">
        <f>D93+D110+D124+D139+D154+D168+D183+D200+D201+D202+D218+D94</f>
        <v>2236296</v>
      </c>
      <c r="E236" s="6">
        <f>(F236-D236)/D236</f>
        <v>0.1517996723152928</v>
      </c>
      <c r="F236" s="1">
        <f>F93+F110+F124+F139+F154+F168+F183+F200+F201+F202+F218+F94</f>
        <v>2575765</v>
      </c>
      <c r="G236" s="6">
        <f>(H236-F236)/F236</f>
        <v>0.06132314089212331</v>
      </c>
      <c r="H236" s="1">
        <f>H93+H110+H124+H139+H154+H168+H183+H200+H201+H202+H218+H94</f>
        <v>2733719</v>
      </c>
    </row>
    <row r="237" spans="1:8" ht="18" customHeight="1">
      <c r="A237" s="1" t="s">
        <v>142</v>
      </c>
      <c r="B237" s="1">
        <v>157400</v>
      </c>
      <c r="C237" s="1">
        <f>C95+C125+C155+C184+C203+C204+C219+C111+C140+C169</f>
        <v>147682</v>
      </c>
      <c r="D237" s="1">
        <f>D95+D125+D155+D184+D203+D204+D219+D111+D140+D169</f>
        <v>135948</v>
      </c>
      <c r="E237" s="6">
        <f>(F237-D237)/D237</f>
        <v>-0.30947862417983346</v>
      </c>
      <c r="F237" s="1">
        <f>F95+F125+F155+F184+F203+F204+F219+F111+F140+F169</f>
        <v>93875</v>
      </c>
      <c r="G237" s="6">
        <f>(H237-F237)/F237</f>
        <v>1.4567137150466045</v>
      </c>
      <c r="H237" s="1">
        <f>H95+H125+H155+H184+H203+H204+H219+H111+H140+H169</f>
        <v>230624</v>
      </c>
    </row>
    <row r="238" spans="1:8" ht="18" customHeight="1">
      <c r="A238" s="1" t="s">
        <v>143</v>
      </c>
      <c r="B238" s="1">
        <v>61243</v>
      </c>
      <c r="C238" s="1">
        <f>C96+C112+C126+C141+C156+C170+C185+C205+C220</f>
        <v>50883</v>
      </c>
      <c r="D238" s="1">
        <f>D96+D112+D126+D141+D156+D170+D185+D205+D220</f>
        <v>63856</v>
      </c>
      <c r="E238" s="6">
        <f>(F238-D238)/D238</f>
        <v>0.05706589827111</v>
      </c>
      <c r="F238" s="1">
        <f>F96+F112+F126+F141+F156+F170+F185+F205+F220</f>
        <v>67500</v>
      </c>
      <c r="G238" s="6">
        <f>(H238-F238)/F238</f>
        <v>0.011111111111111112</v>
      </c>
      <c r="H238" s="1">
        <f>H96+H112+H126+H141+H156+H170+H185+H205+H220</f>
        <v>68250</v>
      </c>
    </row>
    <row r="239" spans="1:8" ht="18" customHeight="1">
      <c r="A239" s="3" t="s">
        <v>144</v>
      </c>
      <c r="B239" s="3">
        <f>SUM(B231:B238)</f>
        <v>41559870</v>
      </c>
      <c r="C239" s="3">
        <f>SUM(C231:C238)</f>
        <v>44191145</v>
      </c>
      <c r="D239" s="3">
        <f>SUM(D231:D238)</f>
        <v>46824197</v>
      </c>
      <c r="E239" s="6">
        <f>(F239-D239)/D239</f>
        <v>0.0731754139852094</v>
      </c>
      <c r="F239" s="3">
        <f>SUM(F231:F238)</f>
        <v>50250577</v>
      </c>
      <c r="G239" s="6">
        <f>(H239-F239)/F239</f>
        <v>0.0852391605374004</v>
      </c>
      <c r="H239" s="3">
        <f>SUM(H231:H238)</f>
        <v>54533894</v>
      </c>
    </row>
    <row r="240" spans="1:7" ht="18" customHeight="1">
      <c r="A240" s="3"/>
      <c r="E240" s="6"/>
      <c r="G240" s="6"/>
    </row>
    <row r="241" spans="1:8" ht="18" customHeight="1">
      <c r="A241" s="3" t="s">
        <v>145</v>
      </c>
      <c r="B241" s="3">
        <f>B228-B239</f>
        <v>-636409</v>
      </c>
      <c r="C241" s="3">
        <f>C228-C239</f>
        <v>-1130644</v>
      </c>
      <c r="D241" s="3">
        <f>D228-D239</f>
        <v>-589894</v>
      </c>
      <c r="E241" s="6">
        <f>(F241-D241)/D241</f>
        <v>-1</v>
      </c>
      <c r="F241" s="3">
        <f>F228-F239</f>
        <v>0</v>
      </c>
      <c r="G241" s="6" t="e">
        <f>(H241-F241)/F241</f>
        <v>#DIV/0!</v>
      </c>
      <c r="H241" s="3">
        <f>H228-H239</f>
        <v>0</v>
      </c>
    </row>
    <row r="242" spans="1:7" ht="18" customHeight="1">
      <c r="A242" s="3"/>
      <c r="E242" s="6"/>
      <c r="G242" s="6"/>
    </row>
    <row r="243" spans="1:8" ht="18" customHeight="1">
      <c r="A243" s="3" t="s">
        <v>146</v>
      </c>
      <c r="B243" s="3">
        <v>6787508</v>
      </c>
      <c r="C243" s="3">
        <f>+B246</f>
        <v>6151099</v>
      </c>
      <c r="D243" s="3">
        <f>+C246</f>
        <v>5020455</v>
      </c>
      <c r="E243" s="6">
        <f>(F243-D243)/D243</f>
        <v>-0.11749811521067313</v>
      </c>
      <c r="F243" s="3">
        <f>+D246</f>
        <v>4430561</v>
      </c>
      <c r="G243" s="6">
        <f>(H243-F243)/F243</f>
        <v>0</v>
      </c>
      <c r="H243" s="3">
        <f>+F246</f>
        <v>4430561</v>
      </c>
    </row>
    <row r="244" spans="1:8" ht="18" customHeight="1">
      <c r="A244" s="3" t="s">
        <v>147</v>
      </c>
      <c r="B244" s="3">
        <v>0</v>
      </c>
      <c r="C244" s="3">
        <v>0</v>
      </c>
      <c r="D244" s="3">
        <v>0</v>
      </c>
      <c r="E244" s="6"/>
      <c r="F244" s="3">
        <v>0</v>
      </c>
      <c r="G244" s="6"/>
      <c r="H244" s="3">
        <v>0</v>
      </c>
    </row>
    <row r="245" spans="1:7" ht="18" customHeight="1">
      <c r="A245" s="3"/>
      <c r="E245" s="6"/>
      <c r="G245" s="6"/>
    </row>
    <row r="246" spans="1:8" ht="18" customHeight="1">
      <c r="A246" s="3" t="s">
        <v>148</v>
      </c>
      <c r="B246" s="3">
        <f>B241+B243+B244</f>
        <v>6151099</v>
      </c>
      <c r="C246" s="3">
        <f>C241+C243+C244</f>
        <v>5020455</v>
      </c>
      <c r="D246" s="3">
        <f>D241+D243+D244</f>
        <v>4430561</v>
      </c>
      <c r="E246" s="6">
        <f>(F246-D246)/D246</f>
        <v>0</v>
      </c>
      <c r="F246" s="3">
        <f>F241+F243+F244</f>
        <v>4430561</v>
      </c>
      <c r="G246" s="6">
        <f>(H246-F246)/F246</f>
        <v>0</v>
      </c>
      <c r="H246" s="3">
        <f>H241+H243+H244</f>
        <v>4430561</v>
      </c>
    </row>
    <row r="247" spans="1:7" ht="18" customHeight="1">
      <c r="A247" s="3"/>
      <c r="E247" s="6"/>
      <c r="G247" s="6"/>
    </row>
    <row r="248" spans="1:7" ht="18" customHeight="1">
      <c r="A248" s="3"/>
      <c r="E248" s="6"/>
      <c r="G248" s="6"/>
    </row>
    <row r="249" spans="5:7" ht="18" customHeight="1">
      <c r="E249" s="6"/>
      <c r="G249" s="6"/>
    </row>
    <row r="250" spans="1:7" ht="24.75" customHeight="1">
      <c r="A250" s="2" t="s">
        <v>0</v>
      </c>
      <c r="E250" s="6"/>
      <c r="G250" s="6"/>
    </row>
    <row r="251" spans="1:7" ht="18" customHeight="1">
      <c r="A251" s="3" t="s">
        <v>1</v>
      </c>
      <c r="E251" s="6"/>
      <c r="G251" s="6"/>
    </row>
    <row r="252" spans="1:7" ht="18" customHeight="1">
      <c r="A252" s="3" t="s">
        <v>149</v>
      </c>
      <c r="E252" s="6"/>
      <c r="G252" s="6"/>
    </row>
    <row r="253" spans="2:8" ht="18" customHeight="1">
      <c r="B253" s="12" t="s">
        <v>3</v>
      </c>
      <c r="C253" s="4" t="s">
        <v>4</v>
      </c>
      <c r="D253" s="4" t="s">
        <v>5</v>
      </c>
      <c r="E253" s="6"/>
      <c r="F253" s="4" t="s">
        <v>7</v>
      </c>
      <c r="G253" s="6"/>
      <c r="H253" s="4" t="s">
        <v>8</v>
      </c>
    </row>
    <row r="254" spans="1:8" ht="18" customHeight="1">
      <c r="A254" s="12" t="s">
        <v>150</v>
      </c>
      <c r="B254" s="4"/>
      <c r="C254" s="4"/>
      <c r="D254" s="4"/>
      <c r="E254" s="6"/>
      <c r="F254" s="4" t="s">
        <v>9</v>
      </c>
      <c r="G254" s="6"/>
      <c r="H254" s="4"/>
    </row>
    <row r="255" spans="1:7" ht="18" customHeight="1">
      <c r="A255" s="3" t="s">
        <v>11</v>
      </c>
      <c r="E255" s="6"/>
      <c r="G255" s="6"/>
    </row>
    <row r="256" spans="1:7" ht="18" customHeight="1">
      <c r="A256" s="3" t="s">
        <v>12</v>
      </c>
      <c r="E256" s="6"/>
      <c r="G256" s="6"/>
    </row>
    <row r="257" spans="1:8" ht="18" customHeight="1">
      <c r="A257" s="1" t="s">
        <v>151</v>
      </c>
      <c r="B257" s="1">
        <v>1624</v>
      </c>
      <c r="C257" s="1">
        <v>1537</v>
      </c>
      <c r="D257" s="1">
        <v>4569</v>
      </c>
      <c r="E257" s="6">
        <f>(F257-D257)/D257</f>
        <v>1.7358284088421974</v>
      </c>
      <c r="F257" s="1">
        <v>12500</v>
      </c>
      <c r="G257" s="6">
        <f>(H257-F257)/F257</f>
        <v>0</v>
      </c>
      <c r="H257" s="1">
        <v>12500</v>
      </c>
    </row>
    <row r="258" spans="1:8" ht="18" customHeight="1">
      <c r="A258" s="1" t="s">
        <v>152</v>
      </c>
      <c r="B258" s="1">
        <v>416571</v>
      </c>
      <c r="C258" s="1">
        <v>1095474</v>
      </c>
      <c r="D258" s="1">
        <v>888755</v>
      </c>
      <c r="E258" s="6">
        <f>(F258-D258)/D258</f>
        <v>-0.35584047347131664</v>
      </c>
      <c r="F258" s="1">
        <v>572500</v>
      </c>
      <c r="G258" s="6">
        <f>(H258-F258)/F258</f>
        <v>0</v>
      </c>
      <c r="H258" s="1">
        <v>572500</v>
      </c>
    </row>
    <row r="259" spans="1:8" ht="18" customHeight="1">
      <c r="A259" s="1" t="s">
        <v>153</v>
      </c>
      <c r="B259" s="1">
        <v>28432</v>
      </c>
      <c r="C259" s="1">
        <v>18537</v>
      </c>
      <c r="D259" s="1">
        <v>27320</v>
      </c>
      <c r="E259" s="6">
        <f>(F259-D259)/D259</f>
        <v>2.568814055636896</v>
      </c>
      <c r="F259" s="1">
        <v>97500</v>
      </c>
      <c r="G259" s="6">
        <f>(H259-F259)/F259</f>
        <v>0</v>
      </c>
      <c r="H259" s="1">
        <v>97500</v>
      </c>
    </row>
    <row r="260" spans="1:8" ht="18" customHeight="1">
      <c r="A260" s="1" t="s">
        <v>154</v>
      </c>
      <c r="B260" s="1">
        <v>1479364</v>
      </c>
      <c r="C260" s="1">
        <v>979662</v>
      </c>
      <c r="D260" s="1">
        <v>1301166</v>
      </c>
      <c r="E260" s="6">
        <f>(F260-D260)/D260</f>
        <v>0.4529276049328064</v>
      </c>
      <c r="F260" s="1">
        <f>1640500+250000</f>
        <v>1890500</v>
      </c>
      <c r="G260" s="6">
        <f>(H260-F260)/F260</f>
        <v>-0.1322401481089659</v>
      </c>
      <c r="H260" s="1">
        <v>1640500</v>
      </c>
    </row>
    <row r="261" spans="1:8" ht="18" customHeight="1">
      <c r="A261" s="3" t="s">
        <v>74</v>
      </c>
      <c r="B261" s="3">
        <f>SUM(B257:B260)</f>
        <v>1925991</v>
      </c>
      <c r="C261" s="3">
        <f>SUM(C257:C260)</f>
        <v>2095210</v>
      </c>
      <c r="D261" s="3">
        <f>SUM(D257:D260)</f>
        <v>2221810</v>
      </c>
      <c r="E261" s="6">
        <f>(F261-D261)/D261</f>
        <v>0.1580648210243</v>
      </c>
      <c r="F261" s="3">
        <f>SUM(F257:F260)</f>
        <v>2573000</v>
      </c>
      <c r="G261" s="6">
        <f>(H261-F261)/F261</f>
        <v>-0.0971628449280995</v>
      </c>
      <c r="H261" s="3">
        <f>SUM(H257:H260)</f>
        <v>2323000</v>
      </c>
    </row>
    <row r="262" spans="5:7" ht="18" customHeight="1">
      <c r="E262" s="6"/>
      <c r="G262" s="6"/>
    </row>
    <row r="263" spans="1:7" ht="18" customHeight="1">
      <c r="A263" s="3" t="s">
        <v>75</v>
      </c>
      <c r="E263" s="6"/>
      <c r="G263" s="6"/>
    </row>
    <row r="264" spans="1:8" ht="18" customHeight="1">
      <c r="A264" s="1" t="s">
        <v>155</v>
      </c>
      <c r="B264" s="1">
        <v>304959</v>
      </c>
      <c r="C264" s="1">
        <v>223044</v>
      </c>
      <c r="D264" s="1">
        <v>120185</v>
      </c>
      <c r="E264" s="6">
        <f>(F264-D264)/D264</f>
        <v>3.2871406581520155</v>
      </c>
      <c r="F264" s="1">
        <v>515250</v>
      </c>
      <c r="G264" s="6">
        <f>(H264-F264)/F264</f>
        <v>0</v>
      </c>
      <c r="H264" s="1">
        <v>515250</v>
      </c>
    </row>
    <row r="265" spans="1:8" ht="18" customHeight="1">
      <c r="A265" s="1" t="s">
        <v>138</v>
      </c>
      <c r="B265" s="1">
        <v>80232</v>
      </c>
      <c r="C265" s="1">
        <v>124068</v>
      </c>
      <c r="D265" s="1">
        <v>111216</v>
      </c>
      <c r="E265" s="6">
        <f>(F265-D265)/D265</f>
        <v>-0.3188929650410013</v>
      </c>
      <c r="F265" s="1">
        <v>75750</v>
      </c>
      <c r="G265" s="6">
        <f>(H265-F265)/F265</f>
        <v>0</v>
      </c>
      <c r="H265" s="1">
        <v>75750</v>
      </c>
    </row>
    <row r="266" spans="1:8" ht="18" customHeight="1">
      <c r="A266" s="1" t="s">
        <v>140</v>
      </c>
      <c r="B266" s="1">
        <v>219648</v>
      </c>
      <c r="C266" s="1">
        <v>276001</v>
      </c>
      <c r="D266" s="1">
        <v>304153</v>
      </c>
      <c r="E266" s="6">
        <f>(F266-D266)/D266</f>
        <v>-0.35657382961864587</v>
      </c>
      <c r="F266" s="1">
        <v>195700</v>
      </c>
      <c r="G266" s="6">
        <f>(H266-F266)/F266</f>
        <v>0</v>
      </c>
      <c r="H266" s="1">
        <v>195700</v>
      </c>
    </row>
    <row r="267" spans="1:8" ht="18" customHeight="1">
      <c r="A267" s="13" t="s">
        <v>141</v>
      </c>
      <c r="B267" s="1">
        <v>1209162</v>
      </c>
      <c r="C267" s="1">
        <v>1472097</v>
      </c>
      <c r="D267" s="1">
        <v>1686256</v>
      </c>
      <c r="E267" s="6">
        <f>(F267-D267)/D267</f>
        <v>0.05932906984467364</v>
      </c>
      <c r="F267" s="1">
        <f>1536300+250000</f>
        <v>1786300</v>
      </c>
      <c r="G267" s="6">
        <f>(H267-F267)/F267</f>
        <v>-0.13995409505682135</v>
      </c>
      <c r="H267" s="1">
        <v>1536300</v>
      </c>
    </row>
    <row r="268" spans="1:8" ht="18" customHeight="1">
      <c r="A268" s="1" t="s">
        <v>142</v>
      </c>
      <c r="B268" s="1">
        <v>0</v>
      </c>
      <c r="C268" s="1">
        <v>0</v>
      </c>
      <c r="D268" s="1">
        <v>0</v>
      </c>
      <c r="E268" s="6"/>
      <c r="F268" s="1">
        <v>0</v>
      </c>
      <c r="G268" s="6"/>
      <c r="H268" s="1">
        <v>0</v>
      </c>
    </row>
    <row r="269" spans="1:8" ht="18" customHeight="1">
      <c r="A269" s="3" t="s">
        <v>144</v>
      </c>
      <c r="B269" s="3">
        <f>SUM(B264:B268)</f>
        <v>1814001</v>
      </c>
      <c r="C269" s="3">
        <f>SUM(C264:C268)</f>
        <v>2095210</v>
      </c>
      <c r="D269" s="3">
        <f>SUM(D264:D268)</f>
        <v>2221810</v>
      </c>
      <c r="E269" s="6">
        <f>(F269-D269)/D269</f>
        <v>0.1580648210243</v>
      </c>
      <c r="F269" s="3">
        <f>SUM(F264:F268)</f>
        <v>2573000</v>
      </c>
      <c r="G269" s="6">
        <f>(H269-F269)/F269</f>
        <v>-0.0971628449280995</v>
      </c>
      <c r="H269" s="3">
        <f>SUM(H264:H268)</f>
        <v>2323000</v>
      </c>
    </row>
    <row r="270" spans="5:7" ht="18" customHeight="1">
      <c r="E270" s="6"/>
      <c r="G270" s="6"/>
    </row>
    <row r="271" spans="1:8" ht="18" customHeight="1">
      <c r="A271" s="3" t="s">
        <v>145</v>
      </c>
      <c r="B271" s="3">
        <f>B261-B269</f>
        <v>111990</v>
      </c>
      <c r="C271" s="3">
        <f>C261-C269</f>
        <v>0</v>
      </c>
      <c r="D271" s="3">
        <f>D261-D269</f>
        <v>0</v>
      </c>
      <c r="E271" s="6"/>
      <c r="F271" s="3">
        <f>F261-F269</f>
        <v>0</v>
      </c>
      <c r="G271" s="6"/>
      <c r="H271" s="3">
        <f>H261-H269</f>
        <v>0</v>
      </c>
    </row>
    <row r="272" spans="1:7" ht="18" customHeight="1">
      <c r="A272" s="3"/>
      <c r="E272" s="6"/>
      <c r="G272" s="6"/>
    </row>
    <row r="273" spans="1:8" ht="18" customHeight="1">
      <c r="A273" s="3" t="s">
        <v>146</v>
      </c>
      <c r="B273" s="3">
        <v>0</v>
      </c>
      <c r="C273" s="3">
        <v>0</v>
      </c>
      <c r="D273" s="3">
        <v>0</v>
      </c>
      <c r="E273" s="6"/>
      <c r="F273" s="3">
        <v>0</v>
      </c>
      <c r="G273" s="6"/>
      <c r="H273" s="3">
        <v>0</v>
      </c>
    </row>
    <row r="274" spans="1:8" ht="18" customHeight="1">
      <c r="A274" s="3" t="s">
        <v>147</v>
      </c>
      <c r="B274" s="3">
        <v>-111990</v>
      </c>
      <c r="C274" s="3">
        <v>0</v>
      </c>
      <c r="D274" s="3">
        <v>0</v>
      </c>
      <c r="E274" s="6"/>
      <c r="F274" s="3">
        <v>0</v>
      </c>
      <c r="G274" s="6"/>
      <c r="H274" s="3">
        <v>0</v>
      </c>
    </row>
    <row r="275" spans="1:7" ht="18" customHeight="1">
      <c r="A275" s="3"/>
      <c r="E275" s="6"/>
      <c r="G275" s="6"/>
    </row>
    <row r="276" spans="1:8" ht="18" customHeight="1">
      <c r="A276" s="3" t="s">
        <v>148</v>
      </c>
      <c r="B276" s="3">
        <f>B271+B273+B274</f>
        <v>0</v>
      </c>
      <c r="C276" s="3">
        <f>C271+C273+C274</f>
        <v>0</v>
      </c>
      <c r="D276" s="3">
        <f>D271+D273+D274</f>
        <v>0</v>
      </c>
      <c r="E276" s="6"/>
      <c r="F276" s="3">
        <f>F271+F273+F274</f>
        <v>0</v>
      </c>
      <c r="G276" s="6"/>
      <c r="H276" s="3">
        <f>H271+H273+H274</f>
        <v>0</v>
      </c>
    </row>
    <row r="277" spans="5:7" ht="18" customHeight="1">
      <c r="E277" s="6"/>
      <c r="G277" s="6"/>
    </row>
    <row r="278" spans="5:7" ht="18" customHeight="1">
      <c r="E278" s="6"/>
      <c r="G278" s="6"/>
    </row>
    <row r="279" spans="5:7" ht="18" customHeight="1">
      <c r="E279" s="6"/>
      <c r="G279" s="6"/>
    </row>
    <row r="280" spans="1:7" ht="26.25" customHeight="1">
      <c r="A280" s="2" t="s">
        <v>0</v>
      </c>
      <c r="E280" s="6"/>
      <c r="G280" s="6"/>
    </row>
    <row r="281" spans="1:7" ht="18" customHeight="1">
      <c r="A281" s="3" t="s">
        <v>1</v>
      </c>
      <c r="E281" s="6"/>
      <c r="G281" s="6"/>
    </row>
    <row r="282" spans="1:7" ht="18" customHeight="1">
      <c r="A282" s="10" t="s">
        <v>2</v>
      </c>
      <c r="E282" s="6"/>
      <c r="G282" s="6"/>
    </row>
    <row r="283" spans="2:8" ht="18" customHeight="1">
      <c r="B283" s="4" t="s">
        <v>3</v>
      </c>
      <c r="C283" s="4" t="s">
        <v>4</v>
      </c>
      <c r="D283" s="4" t="s">
        <v>5</v>
      </c>
      <c r="E283" s="6"/>
      <c r="F283" s="4" t="s">
        <v>7</v>
      </c>
      <c r="G283" s="6"/>
      <c r="H283" s="4" t="s">
        <v>8</v>
      </c>
    </row>
    <row r="284" spans="1:8" ht="18" customHeight="1">
      <c r="A284" s="12" t="s">
        <v>156</v>
      </c>
      <c r="B284" s="4"/>
      <c r="C284" s="4"/>
      <c r="D284" s="4"/>
      <c r="E284" s="6"/>
      <c r="F284" s="4" t="s">
        <v>9</v>
      </c>
      <c r="G284" s="6"/>
      <c r="H284" s="4"/>
    </row>
    <row r="285" spans="1:7" ht="18" customHeight="1">
      <c r="A285" s="3" t="s">
        <v>11</v>
      </c>
      <c r="E285" s="6"/>
      <c r="G285" s="6"/>
    </row>
    <row r="286" spans="1:7" ht="18" customHeight="1">
      <c r="A286" s="3" t="s">
        <v>12</v>
      </c>
      <c r="E286" s="6"/>
      <c r="G286" s="6"/>
    </row>
    <row r="287" spans="1:7" ht="18" customHeight="1">
      <c r="A287" s="1" t="s">
        <v>13</v>
      </c>
      <c r="E287" s="6"/>
      <c r="G287" s="6"/>
    </row>
    <row r="288" spans="1:8" ht="18" customHeight="1">
      <c r="A288" s="1" t="s">
        <v>157</v>
      </c>
      <c r="B288" s="1">
        <v>6237798</v>
      </c>
      <c r="C288" s="1">
        <v>6219088</v>
      </c>
      <c r="D288" s="1">
        <v>5928525</v>
      </c>
      <c r="E288" s="6">
        <f>(F288-D288)/D288</f>
        <v>0.6818927136176368</v>
      </c>
      <c r="F288" s="1">
        <v>9971143</v>
      </c>
      <c r="G288" s="6">
        <f>(H288-F288)/F288</f>
        <v>0.0005894008339866352</v>
      </c>
      <c r="H288" s="1">
        <v>9977020</v>
      </c>
    </row>
    <row r="289" spans="1:8" ht="18" customHeight="1">
      <c r="A289" s="1" t="s">
        <v>158</v>
      </c>
      <c r="B289" s="1">
        <f>B288</f>
        <v>6237798</v>
      </c>
      <c r="C289" s="1">
        <f>C288</f>
        <v>6219088</v>
      </c>
      <c r="D289" s="1">
        <f>D288</f>
        <v>5928525</v>
      </c>
      <c r="E289" s="6">
        <f>(F289-D289)/D289</f>
        <v>0.6818927136176368</v>
      </c>
      <c r="F289" s="1">
        <f>F288</f>
        <v>9971143</v>
      </c>
      <c r="G289" s="6">
        <f>(H289-F289)/F289</f>
        <v>0.0005894008339866352</v>
      </c>
      <c r="H289" s="1">
        <f>H288</f>
        <v>9977020</v>
      </c>
    </row>
    <row r="290" spans="1:8" ht="18" customHeight="1">
      <c r="A290" s="3" t="s">
        <v>159</v>
      </c>
      <c r="B290" s="3">
        <f>B289</f>
        <v>6237798</v>
      </c>
      <c r="C290" s="3">
        <f>C289</f>
        <v>6219088</v>
      </c>
      <c r="D290" s="3">
        <f>D289</f>
        <v>5928525</v>
      </c>
      <c r="E290" s="6">
        <f>(F290-D290)/D290</f>
        <v>0.6818927136176368</v>
      </c>
      <c r="F290" s="3">
        <f>F289</f>
        <v>9971143</v>
      </c>
      <c r="G290" s="6">
        <f>(H290-F290)/F290</f>
        <v>0.0005894008339866352</v>
      </c>
      <c r="H290" s="3">
        <f>H289</f>
        <v>9977020</v>
      </c>
    </row>
    <row r="291" spans="5:7" ht="18" customHeight="1">
      <c r="E291" s="6"/>
      <c r="G291" s="6"/>
    </row>
    <row r="292" spans="5:7" ht="18" customHeight="1">
      <c r="E292" s="6"/>
      <c r="G292" s="6"/>
    </row>
    <row r="293" spans="1:8" ht="18" customHeight="1">
      <c r="A293" s="1" t="s">
        <v>160</v>
      </c>
      <c r="B293" s="1">
        <v>2577813</v>
      </c>
      <c r="C293" s="1">
        <v>2139446</v>
      </c>
      <c r="D293" s="1">
        <v>2172746</v>
      </c>
      <c r="E293" s="6">
        <f>(F293-D293)/D293</f>
        <v>0.8932921749712115</v>
      </c>
      <c r="F293" s="1">
        <v>4113643</v>
      </c>
      <c r="G293" s="6">
        <f>(H293-F293)/F293</f>
        <v>-0.014372418802506684</v>
      </c>
      <c r="H293" s="1">
        <v>4054520</v>
      </c>
    </row>
    <row r="294" spans="1:8" ht="18" customHeight="1">
      <c r="A294" s="1" t="s">
        <v>161</v>
      </c>
      <c r="B294" s="1">
        <v>3585000</v>
      </c>
      <c r="C294" s="1">
        <v>3750000</v>
      </c>
      <c r="D294" s="1">
        <v>3700000</v>
      </c>
      <c r="E294" s="6">
        <f>(F294-D294)/D294</f>
        <v>0.5824324324324325</v>
      </c>
      <c r="F294" s="1">
        <v>5855000</v>
      </c>
      <c r="G294" s="6">
        <f>(H294-F294)/F294</f>
        <v>0.011101622544833475</v>
      </c>
      <c r="H294" s="1">
        <v>5920000</v>
      </c>
    </row>
    <row r="295" spans="1:8" ht="18" customHeight="1">
      <c r="A295" s="1" t="s">
        <v>162</v>
      </c>
      <c r="B295" s="1">
        <v>2500</v>
      </c>
      <c r="C295" s="1">
        <f>279260+2500</f>
        <v>281760</v>
      </c>
      <c r="D295" s="1">
        <v>20212</v>
      </c>
      <c r="E295" s="6">
        <f>(F295-D295)/D295</f>
        <v>-0.8763111023154562</v>
      </c>
      <c r="F295" s="1">
        <v>2500</v>
      </c>
      <c r="G295" s="6">
        <f>(H295-F295)/F295</f>
        <v>0</v>
      </c>
      <c r="H295" s="1">
        <v>2500</v>
      </c>
    </row>
    <row r="296" spans="1:8" ht="18" customHeight="1">
      <c r="A296" s="10" t="s">
        <v>163</v>
      </c>
      <c r="B296" s="3">
        <f>SUM(B293:B295)</f>
        <v>6165313</v>
      </c>
      <c r="C296" s="3">
        <f>SUM(C293:C295)</f>
        <v>6171206</v>
      </c>
      <c r="D296" s="3">
        <f>SUM(D293:D295)</f>
        <v>5892958</v>
      </c>
      <c r="E296" s="6">
        <f>(F296-D296)/D296</f>
        <v>0.6920437919292823</v>
      </c>
      <c r="F296" s="3">
        <f>SUM(F293:F295)</f>
        <v>9971143</v>
      </c>
      <c r="G296" s="6">
        <f>(H296-F296)/F296</f>
        <v>0.0005894008339866352</v>
      </c>
      <c r="H296" s="3">
        <f>SUM(H293:H295)</f>
        <v>9977020</v>
      </c>
    </row>
    <row r="297" spans="5:7" ht="18" customHeight="1">
      <c r="E297" s="6"/>
      <c r="G297" s="6"/>
    </row>
    <row r="298" spans="1:8" ht="18" customHeight="1">
      <c r="A298" s="3" t="s">
        <v>145</v>
      </c>
      <c r="B298" s="3">
        <f>B290-B296</f>
        <v>72485</v>
      </c>
      <c r="C298" s="3">
        <f>C290-C296</f>
        <v>47882</v>
      </c>
      <c r="D298" s="3">
        <f>D290-D296</f>
        <v>35567</v>
      </c>
      <c r="E298" s="6">
        <f>(F298-D298)/D298</f>
        <v>-1</v>
      </c>
      <c r="F298" s="3">
        <f>F290-F296</f>
        <v>0</v>
      </c>
      <c r="G298" s="6" t="e">
        <f>(H298-F298)/F298</f>
        <v>#DIV/0!</v>
      </c>
      <c r="H298" s="3">
        <f>H290-H296</f>
        <v>0</v>
      </c>
    </row>
    <row r="299" spans="1:7" ht="18" customHeight="1">
      <c r="A299" s="3"/>
      <c r="E299" s="6"/>
      <c r="G299" s="6"/>
    </row>
    <row r="300" spans="1:8" ht="18" customHeight="1">
      <c r="A300" s="3" t="s">
        <v>146</v>
      </c>
      <c r="B300" s="3">
        <v>2630940</v>
      </c>
      <c r="C300" s="3">
        <v>2703425</v>
      </c>
      <c r="D300" s="3">
        <f>+C303</f>
        <v>3030567</v>
      </c>
      <c r="E300" s="6">
        <f>(F300-D300)/D300</f>
        <v>0.011736087669403119</v>
      </c>
      <c r="F300" s="3">
        <f>+D303</f>
        <v>3066134</v>
      </c>
      <c r="G300" s="6">
        <f>(H300-F300)/F300</f>
        <v>0</v>
      </c>
      <c r="H300" s="3">
        <f>+F303</f>
        <v>3066134</v>
      </c>
    </row>
    <row r="301" spans="1:8" ht="18" customHeight="1">
      <c r="A301" s="3" t="s">
        <v>164</v>
      </c>
      <c r="B301" s="3">
        <v>0</v>
      </c>
      <c r="C301" s="3">
        <v>279260</v>
      </c>
      <c r="D301" s="3">
        <v>0</v>
      </c>
      <c r="E301" s="6"/>
      <c r="F301" s="3">
        <v>0</v>
      </c>
      <c r="G301" s="6"/>
      <c r="H301" s="3">
        <v>0</v>
      </c>
    </row>
    <row r="302" spans="1:7" ht="18" customHeight="1">
      <c r="A302" s="3"/>
      <c r="E302" s="6"/>
      <c r="G302" s="6"/>
    </row>
    <row r="303" spans="1:8" ht="18" customHeight="1">
      <c r="A303" s="3" t="s">
        <v>148</v>
      </c>
      <c r="B303" s="3">
        <f>B298+B300</f>
        <v>2703425</v>
      </c>
      <c r="C303" s="3">
        <f>+C298+C300+C301</f>
        <v>3030567</v>
      </c>
      <c r="D303" s="3">
        <f>D298+D300</f>
        <v>3066134</v>
      </c>
      <c r="E303" s="6">
        <f>(F303-D303)/D303</f>
        <v>0</v>
      </c>
      <c r="F303" s="3">
        <f>F298+F300</f>
        <v>3066134</v>
      </c>
      <c r="G303" s="6">
        <f>(H303-F303)/F303</f>
        <v>0</v>
      </c>
      <c r="H303" s="3">
        <f>H298+H300</f>
        <v>3066134</v>
      </c>
    </row>
    <row r="304" spans="5:7" ht="18" customHeight="1">
      <c r="E304" s="6"/>
      <c r="G304" s="6"/>
    </row>
    <row r="305" spans="5:7" ht="18" customHeight="1">
      <c r="E305" s="6"/>
      <c r="G305" s="6"/>
    </row>
    <row r="306" spans="1:7" ht="25.5" customHeight="1">
      <c r="A306" s="2" t="s">
        <v>0</v>
      </c>
      <c r="E306" s="6"/>
      <c r="G306" s="6"/>
    </row>
    <row r="307" spans="1:7" ht="18" customHeight="1">
      <c r="A307" s="3" t="s">
        <v>1</v>
      </c>
      <c r="E307" s="6"/>
      <c r="G307" s="6"/>
    </row>
    <row r="308" spans="1:7" ht="18" customHeight="1">
      <c r="A308" s="3" t="s">
        <v>2</v>
      </c>
      <c r="E308" s="6"/>
      <c r="G308" s="6"/>
    </row>
    <row r="309" spans="2:8" ht="18" customHeight="1">
      <c r="B309" s="12" t="s">
        <v>3</v>
      </c>
      <c r="C309" s="4" t="s">
        <v>4</v>
      </c>
      <c r="D309" s="4" t="s">
        <v>5</v>
      </c>
      <c r="E309" s="6"/>
      <c r="F309" s="4" t="s">
        <v>7</v>
      </c>
      <c r="G309" s="6"/>
      <c r="H309" s="4" t="s">
        <v>8</v>
      </c>
    </row>
    <row r="310" spans="1:8" ht="18" customHeight="1">
      <c r="A310" s="12" t="s">
        <v>165</v>
      </c>
      <c r="B310" s="4"/>
      <c r="C310" s="4"/>
      <c r="D310" s="4"/>
      <c r="E310" s="6"/>
      <c r="F310" s="4" t="s">
        <v>9</v>
      </c>
      <c r="G310" s="6"/>
      <c r="H310" s="4"/>
    </row>
    <row r="311" spans="1:7" ht="18" customHeight="1">
      <c r="A311" s="3" t="s">
        <v>11</v>
      </c>
      <c r="E311" s="6"/>
      <c r="G311" s="6"/>
    </row>
    <row r="312" spans="1:7" ht="18" customHeight="1">
      <c r="A312" s="3" t="s">
        <v>12</v>
      </c>
      <c r="E312" s="6"/>
      <c r="G312" s="6"/>
    </row>
    <row r="313" spans="1:7" ht="18" customHeight="1">
      <c r="A313" s="1" t="s">
        <v>13</v>
      </c>
      <c r="E313" s="6"/>
      <c r="G313" s="6"/>
    </row>
    <row r="314" spans="1:8" ht="18" customHeight="1">
      <c r="A314" s="1" t="s">
        <v>166</v>
      </c>
      <c r="B314" s="1">
        <f>4697288+437174+300374</f>
        <v>5434836</v>
      </c>
      <c r="C314" s="1">
        <f>4918951+310521+331949</f>
        <v>5561421</v>
      </c>
      <c r="D314" s="1">
        <v>5724629</v>
      </c>
      <c r="E314" s="6">
        <f>(F314-D314)/D314</f>
        <v>-0.0009174393659396967</v>
      </c>
      <c r="F314" s="1">
        <f>5239297+210035+270045</f>
        <v>5719377</v>
      </c>
      <c r="G314" s="6">
        <f>(H314-F314)/F314</f>
        <v>0.0477555509979496</v>
      </c>
      <c r="H314" s="1">
        <v>5992509</v>
      </c>
    </row>
    <row r="315" spans="1:7" ht="18" customHeight="1">
      <c r="A315" s="1" t="s">
        <v>167</v>
      </c>
      <c r="B315" s="1">
        <v>0</v>
      </c>
      <c r="C315" s="1">
        <v>0</v>
      </c>
      <c r="D315" s="1">
        <v>0</v>
      </c>
      <c r="E315" s="6"/>
      <c r="F315" s="1">
        <v>0</v>
      </c>
      <c r="G315" s="6"/>
    </row>
    <row r="316" spans="1:8" ht="18" customHeight="1">
      <c r="A316" s="1" t="s">
        <v>158</v>
      </c>
      <c r="B316" s="1">
        <f>B314</f>
        <v>5434836</v>
      </c>
      <c r="C316" s="1">
        <f>C314</f>
        <v>5561421</v>
      </c>
      <c r="D316" s="1">
        <f>D314</f>
        <v>5724629</v>
      </c>
      <c r="E316" s="6">
        <f>(F316-D316)/D316</f>
        <v>-0.0009174393659396967</v>
      </c>
      <c r="F316" s="1">
        <f>F314</f>
        <v>5719377</v>
      </c>
      <c r="G316" s="6">
        <f>(H316-F316)/F316</f>
        <v>0.0477555509979496</v>
      </c>
      <c r="H316" s="1">
        <f>H314</f>
        <v>5992509</v>
      </c>
    </row>
    <row r="317" spans="5:7" ht="18" customHeight="1">
      <c r="E317" s="6"/>
      <c r="G317" s="6"/>
    </row>
    <row r="318" spans="1:8" ht="18" customHeight="1">
      <c r="A318" s="1" t="s">
        <v>151</v>
      </c>
      <c r="B318" s="1">
        <v>4701</v>
      </c>
      <c r="C318" s="1">
        <v>0</v>
      </c>
      <c r="D318" s="1">
        <v>0</v>
      </c>
      <c r="E318" s="6"/>
      <c r="F318" s="1">
        <v>250000</v>
      </c>
      <c r="G318" s="6"/>
      <c r="H318" s="1">
        <v>0</v>
      </c>
    </row>
    <row r="319" spans="1:8" ht="18" customHeight="1">
      <c r="A319" s="1" t="s">
        <v>168</v>
      </c>
      <c r="B319" s="1">
        <v>1020611</v>
      </c>
      <c r="C319" s="1">
        <v>2957479</v>
      </c>
      <c r="D319" s="1">
        <v>0</v>
      </c>
      <c r="E319" s="6"/>
      <c r="F319" s="1">
        <v>575000</v>
      </c>
      <c r="G319" s="6"/>
      <c r="H319" s="1">
        <v>0</v>
      </c>
    </row>
    <row r="320" spans="1:8" ht="18" customHeight="1">
      <c r="A320" s="1" t="s">
        <v>22</v>
      </c>
      <c r="B320" s="1">
        <f>B318+B319</f>
        <v>1025312</v>
      </c>
      <c r="C320" s="1">
        <f>C318+C319</f>
        <v>2957479</v>
      </c>
      <c r="D320" s="1">
        <f>D318+D319</f>
        <v>0</v>
      </c>
      <c r="E320" s="6"/>
      <c r="F320" s="1">
        <f>F318+F319</f>
        <v>825000</v>
      </c>
      <c r="G320" s="6"/>
      <c r="H320" s="1">
        <f>H318+H319</f>
        <v>0</v>
      </c>
    </row>
    <row r="321" spans="1:8" ht="18" customHeight="1">
      <c r="A321" s="3" t="s">
        <v>23</v>
      </c>
      <c r="B321" s="3">
        <f>B316+B320</f>
        <v>6460148</v>
      </c>
      <c r="C321" s="3">
        <f>C316+C320</f>
        <v>8518900</v>
      </c>
      <c r="D321" s="3">
        <f>D316+D320</f>
        <v>5724629</v>
      </c>
      <c r="E321" s="6">
        <f>(F321-D321)/D321</f>
        <v>0.14319670322740566</v>
      </c>
      <c r="F321" s="3">
        <f>F316+F320</f>
        <v>6544377</v>
      </c>
      <c r="G321" s="6">
        <f>(H321-F321)/F321</f>
        <v>-0.08432704900710947</v>
      </c>
      <c r="H321" s="3">
        <f>H316+H320</f>
        <v>5992509</v>
      </c>
    </row>
    <row r="322" spans="2:8" ht="18" customHeight="1">
      <c r="B322" s="14"/>
      <c r="C322" s="14"/>
      <c r="D322" s="14"/>
      <c r="E322" s="6"/>
      <c r="F322" s="14"/>
      <c r="G322" s="6"/>
      <c r="H322" s="14"/>
    </row>
    <row r="323" spans="1:8" ht="18" customHeight="1">
      <c r="A323" s="3" t="s">
        <v>24</v>
      </c>
      <c r="B323" s="14"/>
      <c r="C323" s="14"/>
      <c r="D323" s="14"/>
      <c r="E323" s="6"/>
      <c r="F323" s="14"/>
      <c r="G323" s="6"/>
      <c r="H323" s="14"/>
    </row>
    <row r="324" spans="1:8" ht="18" customHeight="1">
      <c r="A324" s="1" t="s">
        <v>169</v>
      </c>
      <c r="B324" s="1">
        <v>0</v>
      </c>
      <c r="C324" s="1">
        <v>0</v>
      </c>
      <c r="D324" s="1">
        <v>152406</v>
      </c>
      <c r="E324" s="6">
        <f>(F324-D324)/D324</f>
        <v>-1</v>
      </c>
      <c r="F324" s="1">
        <v>0</v>
      </c>
      <c r="G324" s="6" t="e">
        <f>(H324-F324)/F324</f>
        <v>#DIV/0!</v>
      </c>
      <c r="H324" s="1">
        <v>0</v>
      </c>
    </row>
    <row r="325" spans="1:8" ht="18" customHeight="1">
      <c r="A325" s="3" t="s">
        <v>59</v>
      </c>
      <c r="B325" s="3">
        <v>0</v>
      </c>
      <c r="C325" s="3">
        <v>0</v>
      </c>
      <c r="D325" s="3">
        <v>152406</v>
      </c>
      <c r="E325" s="6">
        <f>(F325-D325)/D325</f>
        <v>-1</v>
      </c>
      <c r="F325" s="3">
        <v>0</v>
      </c>
      <c r="G325" s="6" t="e">
        <f>(H325-F325)/F325</f>
        <v>#DIV/0!</v>
      </c>
      <c r="H325" s="3">
        <v>0</v>
      </c>
    </row>
    <row r="326" spans="1:8" ht="18" customHeight="1">
      <c r="A326" s="3"/>
      <c r="B326" s="3"/>
      <c r="C326" s="3"/>
      <c r="D326" s="3"/>
      <c r="E326" s="6"/>
      <c r="F326" s="3"/>
      <c r="G326" s="6"/>
      <c r="H326" s="3"/>
    </row>
    <row r="327" spans="1:8" ht="18" customHeight="1">
      <c r="A327" s="3" t="s">
        <v>74</v>
      </c>
      <c r="B327" s="3">
        <f>B321+B325</f>
        <v>6460148</v>
      </c>
      <c r="C327" s="3">
        <f>C321+C325</f>
        <v>8518900</v>
      </c>
      <c r="D327" s="3">
        <f>D321+D325</f>
        <v>5877035</v>
      </c>
      <c r="E327" s="6">
        <f>(F327-D327)/D327</f>
        <v>0.11355079559675925</v>
      </c>
      <c r="F327" s="3">
        <f>F321+F325</f>
        <v>6544377</v>
      </c>
      <c r="G327" s="6">
        <f>(H327-F327)/F327</f>
        <v>-0.08432704900710947</v>
      </c>
      <c r="H327" s="3">
        <f>H321+H325</f>
        <v>5992509</v>
      </c>
    </row>
    <row r="328" spans="2:8" ht="18" customHeight="1">
      <c r="B328" s="14"/>
      <c r="C328" s="14"/>
      <c r="D328" s="14"/>
      <c r="E328" s="6"/>
      <c r="F328" s="14"/>
      <c r="G328" s="6"/>
      <c r="H328" s="14"/>
    </row>
    <row r="329" spans="2:8" ht="18" customHeight="1">
      <c r="B329" s="14"/>
      <c r="C329" s="14"/>
      <c r="D329" s="14"/>
      <c r="E329" s="6"/>
      <c r="F329" s="14"/>
      <c r="G329" s="6"/>
      <c r="H329" s="14"/>
    </row>
    <row r="330" spans="1:8" ht="18" customHeight="1">
      <c r="A330" s="3" t="s">
        <v>75</v>
      </c>
      <c r="B330" s="14"/>
      <c r="C330" s="14"/>
      <c r="D330" s="14"/>
      <c r="E330" s="6"/>
      <c r="F330" s="14"/>
      <c r="G330" s="6"/>
      <c r="H330" s="14"/>
    </row>
    <row r="331" spans="1:8" ht="18" customHeight="1">
      <c r="A331" s="3" t="s">
        <v>170</v>
      </c>
      <c r="B331" s="14"/>
      <c r="C331" s="14"/>
      <c r="D331" s="14"/>
      <c r="E331" s="6"/>
      <c r="F331" s="14"/>
      <c r="G331" s="6"/>
      <c r="H331" s="14"/>
    </row>
    <row r="332" spans="1:8" ht="18" customHeight="1">
      <c r="A332" s="1" t="s">
        <v>171</v>
      </c>
      <c r="B332" s="1">
        <v>17688</v>
      </c>
      <c r="C332" s="1">
        <v>17688</v>
      </c>
      <c r="D332" s="1">
        <v>17688</v>
      </c>
      <c r="E332" s="6">
        <f>(F332-D332)/D332</f>
        <v>0.034995477159656264</v>
      </c>
      <c r="F332" s="1">
        <v>18307</v>
      </c>
      <c r="G332" s="6">
        <f>(H332-F332)/F332</f>
        <v>-0.03042552029278418</v>
      </c>
      <c r="H332" s="1">
        <v>17750</v>
      </c>
    </row>
    <row r="333" spans="1:8" ht="18" customHeight="1">
      <c r="A333" s="3" t="s">
        <v>81</v>
      </c>
      <c r="B333" s="3">
        <f>B332</f>
        <v>17688</v>
      </c>
      <c r="C333" s="3">
        <f>C332</f>
        <v>17688</v>
      </c>
      <c r="D333" s="3">
        <f>D332</f>
        <v>17688</v>
      </c>
      <c r="E333" s="6">
        <f>(F333-D333)/D333</f>
        <v>0.034995477159656264</v>
      </c>
      <c r="F333" s="3">
        <f>F332</f>
        <v>18307</v>
      </c>
      <c r="G333" s="6">
        <f>(H333-F333)/F333</f>
        <v>-0.03042552029278418</v>
      </c>
      <c r="H333" s="3">
        <f>H332</f>
        <v>17750</v>
      </c>
    </row>
    <row r="334" spans="1:8" ht="18" customHeight="1">
      <c r="A334" s="1" t="s">
        <v>87</v>
      </c>
      <c r="B334" s="1">
        <v>97543</v>
      </c>
      <c r="C334" s="1">
        <v>11627</v>
      </c>
      <c r="D334" s="1">
        <v>56485</v>
      </c>
      <c r="E334" s="6">
        <f>(F334-D334)/D334</f>
        <v>-0.5574046206957599</v>
      </c>
      <c r="F334" s="1">
        <v>25000</v>
      </c>
      <c r="G334" s="6">
        <f>(H334-F334)/F334</f>
        <v>0</v>
      </c>
      <c r="H334" s="1">
        <v>25000</v>
      </c>
    </row>
    <row r="335" spans="1:8" ht="18" customHeight="1">
      <c r="A335" s="1" t="s">
        <v>88</v>
      </c>
      <c r="B335" s="1">
        <v>0</v>
      </c>
      <c r="C335" s="1">
        <v>0</v>
      </c>
      <c r="D335" s="1">
        <v>0</v>
      </c>
      <c r="E335" s="6"/>
      <c r="F335" s="1">
        <v>0</v>
      </c>
      <c r="G335" s="6"/>
      <c r="H335" s="1">
        <v>0</v>
      </c>
    </row>
    <row r="336" spans="1:8" ht="18" customHeight="1">
      <c r="A336" s="1" t="s">
        <v>89</v>
      </c>
      <c r="B336" s="1">
        <f>10814+68334</f>
        <v>79148</v>
      </c>
      <c r="C336" s="1">
        <f>15407+71093</f>
        <v>86500</v>
      </c>
      <c r="D336" s="1">
        <f>22466+62706</f>
        <v>85172</v>
      </c>
      <c r="E336" s="6">
        <f>(F336-D336)/D336</f>
        <v>-0.05778894472361809</v>
      </c>
      <c r="F336" s="1">
        <f>15750+64500</f>
        <v>80250</v>
      </c>
      <c r="G336" s="6">
        <f>(H336-F336)/F336</f>
        <v>0.037383177570093455</v>
      </c>
      <c r="H336" s="1">
        <f>15750+67500</f>
        <v>83250</v>
      </c>
    </row>
    <row r="337" spans="1:8" ht="18" customHeight="1">
      <c r="A337" s="1" t="s">
        <v>91</v>
      </c>
      <c r="B337" s="1">
        <f>631149+132930</f>
        <v>764079</v>
      </c>
      <c r="C337" s="1">
        <f>879847+260652</f>
        <v>1140499</v>
      </c>
      <c r="D337" s="1">
        <f>1013683+319757</f>
        <v>1333440</v>
      </c>
      <c r="E337" s="6">
        <f>(F337-D337)/D337</f>
        <v>0.06149283057355411</v>
      </c>
      <c r="F337" s="1">
        <f>1222500+192937</f>
        <v>1415437</v>
      </c>
      <c r="G337" s="6">
        <f>(H337-F337)/F337</f>
        <v>1.004681239786723</v>
      </c>
      <c r="H337" s="1">
        <f>2525000+312500</f>
        <v>2837500</v>
      </c>
    </row>
    <row r="338" spans="1:8" ht="18" customHeight="1">
      <c r="A338" s="1" t="s">
        <v>93</v>
      </c>
      <c r="B338" s="1">
        <f>2342029+31584+56364</f>
        <v>2429977</v>
      </c>
      <c r="C338" s="1">
        <f>3001247+12536</f>
        <v>3013783</v>
      </c>
      <c r="D338" s="1">
        <f>2923934+7847+38604</f>
        <v>2970385</v>
      </c>
      <c r="E338" s="6">
        <f>(F338-D338)/D338</f>
        <v>-0.18276587041747114</v>
      </c>
      <c r="F338" s="1">
        <f>2360000+35000+32500</f>
        <v>2427500</v>
      </c>
      <c r="G338" s="6">
        <f>(H338-F338)/F338</f>
        <v>-0.3796844490216272</v>
      </c>
      <c r="H338" s="1">
        <f>1434066+39250+32500</f>
        <v>1505816</v>
      </c>
    </row>
    <row r="339" spans="1:8" ht="18" customHeight="1">
      <c r="A339" s="1" t="s">
        <v>126</v>
      </c>
      <c r="B339" s="1">
        <v>406643</v>
      </c>
      <c r="C339" s="1">
        <v>404118</v>
      </c>
      <c r="D339" s="1">
        <v>277948</v>
      </c>
      <c r="E339" s="6">
        <f>(F339-D339)/D339</f>
        <v>-0.0057492768431505175</v>
      </c>
      <c r="F339" s="1">
        <v>276350</v>
      </c>
      <c r="G339" s="6">
        <f>(H339-F339)/F339</f>
        <v>0.0392364754839877</v>
      </c>
      <c r="H339" s="1">
        <v>287193</v>
      </c>
    </row>
    <row r="340" spans="1:8" ht="18" customHeight="1">
      <c r="A340" s="1" t="s">
        <v>94</v>
      </c>
      <c r="B340" s="1">
        <v>0</v>
      </c>
      <c r="C340" s="1">
        <v>0</v>
      </c>
      <c r="D340" s="1">
        <v>0</v>
      </c>
      <c r="E340" s="6"/>
      <c r="F340" s="1">
        <v>0</v>
      </c>
      <c r="G340" s="6"/>
      <c r="H340" s="1">
        <v>0</v>
      </c>
    </row>
    <row r="341" spans="1:8" ht="18" customHeight="1">
      <c r="A341" s="3" t="s">
        <v>172</v>
      </c>
      <c r="B341" s="3">
        <f>SUM(B333:B340)</f>
        <v>3795078</v>
      </c>
      <c r="C341" s="3">
        <f>SUM(C333:C340)</f>
        <v>4674215</v>
      </c>
      <c r="D341" s="3">
        <f>SUM(D333:D340)</f>
        <v>4741118</v>
      </c>
      <c r="E341" s="6">
        <f>(F341-D341)/D341</f>
        <v>-0.10509630850782453</v>
      </c>
      <c r="F341" s="3">
        <f>SUM(F333:F340)</f>
        <v>4242844</v>
      </c>
      <c r="G341" s="6">
        <f>(H341-F341)/F341</f>
        <v>0.1210661999357035</v>
      </c>
      <c r="H341" s="3">
        <f>SUM(H333:H340)</f>
        <v>4756509</v>
      </c>
    </row>
    <row r="342" spans="2:8" ht="18" customHeight="1">
      <c r="B342" s="14"/>
      <c r="C342" s="14"/>
      <c r="D342" s="14"/>
      <c r="E342" s="6"/>
      <c r="F342" s="14"/>
      <c r="G342" s="6"/>
      <c r="H342" s="14"/>
    </row>
    <row r="343" spans="1:8" ht="18" customHeight="1">
      <c r="A343" s="3" t="s">
        <v>173</v>
      </c>
      <c r="B343" s="14"/>
      <c r="C343" s="14"/>
      <c r="D343" s="14"/>
      <c r="E343" s="6"/>
      <c r="F343" s="14"/>
      <c r="G343" s="6"/>
      <c r="H343" s="14"/>
    </row>
    <row r="344" spans="1:8" ht="18" customHeight="1">
      <c r="A344" s="1" t="s">
        <v>171</v>
      </c>
      <c r="B344" s="1">
        <v>44616</v>
      </c>
      <c r="C344" s="1">
        <v>46974</v>
      </c>
      <c r="D344" s="1">
        <v>0</v>
      </c>
      <c r="E344" s="6"/>
      <c r="F344" s="1">
        <v>0</v>
      </c>
      <c r="G344" s="6"/>
      <c r="H344" s="1">
        <v>0</v>
      </c>
    </row>
    <row r="345" spans="1:8" ht="18" customHeight="1">
      <c r="A345" s="3" t="s">
        <v>81</v>
      </c>
      <c r="B345" s="3">
        <f>+B344</f>
        <v>44616</v>
      </c>
      <c r="C345" s="3">
        <f>+C344</f>
        <v>46974</v>
      </c>
      <c r="D345" s="3">
        <f>+D344</f>
        <v>0</v>
      </c>
      <c r="E345" s="6"/>
      <c r="F345" s="3">
        <f>+F344</f>
        <v>0</v>
      </c>
      <c r="G345" s="6"/>
      <c r="H345" s="3">
        <f>+H344</f>
        <v>0</v>
      </c>
    </row>
    <row r="346" spans="1:8" ht="18" customHeight="1">
      <c r="A346" s="1" t="s">
        <v>87</v>
      </c>
      <c r="B346" s="1">
        <v>0</v>
      </c>
      <c r="C346" s="1">
        <v>0</v>
      </c>
      <c r="D346" s="1">
        <v>0</v>
      </c>
      <c r="E346" s="6"/>
      <c r="F346" s="1">
        <v>0</v>
      </c>
      <c r="G346" s="6"/>
      <c r="H346" s="1">
        <v>0</v>
      </c>
    </row>
    <row r="347" spans="1:8" ht="18" customHeight="1">
      <c r="A347" s="1" t="s">
        <v>88</v>
      </c>
      <c r="B347" s="1">
        <v>0</v>
      </c>
      <c r="C347" s="1">
        <v>0</v>
      </c>
      <c r="D347" s="1">
        <v>0</v>
      </c>
      <c r="E347" s="6"/>
      <c r="F347" s="1">
        <v>0</v>
      </c>
      <c r="G347" s="6"/>
      <c r="H347" s="1">
        <v>0</v>
      </c>
    </row>
    <row r="348" spans="1:8" ht="18" customHeight="1">
      <c r="A348" s="1" t="s">
        <v>89</v>
      </c>
      <c r="B348" s="1">
        <v>0</v>
      </c>
      <c r="C348" s="1">
        <v>0</v>
      </c>
      <c r="D348" s="1">
        <v>0</v>
      </c>
      <c r="E348" s="6"/>
      <c r="F348" s="1">
        <v>0</v>
      </c>
      <c r="G348" s="6"/>
      <c r="H348" s="1">
        <v>0</v>
      </c>
    </row>
    <row r="349" spans="1:8" ht="18" customHeight="1">
      <c r="A349" s="1" t="s">
        <v>91</v>
      </c>
      <c r="B349" s="1">
        <v>0</v>
      </c>
      <c r="C349" s="1">
        <v>0</v>
      </c>
      <c r="D349" s="1">
        <v>0</v>
      </c>
      <c r="E349" s="6"/>
      <c r="F349" s="1">
        <v>0</v>
      </c>
      <c r="G349" s="6"/>
      <c r="H349" s="1">
        <v>0</v>
      </c>
    </row>
    <row r="350" spans="1:8" ht="18" customHeight="1">
      <c r="A350" s="1" t="s">
        <v>174</v>
      </c>
      <c r="B350" s="1">
        <v>2908252</v>
      </c>
      <c r="C350" s="1">
        <v>737805</v>
      </c>
      <c r="D350" s="1">
        <v>615587</v>
      </c>
      <c r="E350" s="6">
        <f>(F350-D350)/D350</f>
        <v>-1</v>
      </c>
      <c r="F350" s="1">
        <v>0</v>
      </c>
      <c r="G350" s="6" t="e">
        <f>(H350-F350)/F350</f>
        <v>#DIV/0!</v>
      </c>
      <c r="H350" s="1">
        <v>0</v>
      </c>
    </row>
    <row r="351" spans="1:8" ht="18" customHeight="1">
      <c r="A351" s="1" t="s">
        <v>175</v>
      </c>
      <c r="B351" s="1">
        <f>2399327+31179</f>
        <v>2430506</v>
      </c>
      <c r="C351" s="1">
        <f>2182721+24047+37158</f>
        <v>2243926</v>
      </c>
      <c r="D351" s="1">
        <f>12227262+171705</f>
        <v>12398967</v>
      </c>
      <c r="E351" s="6">
        <f>(F351-D351)/D351</f>
        <v>3.189505303143399</v>
      </c>
      <c r="F351" s="1">
        <f>49910538+35000+2000000</f>
        <v>51945538</v>
      </c>
      <c r="G351" s="6">
        <f>(H351-F351)/F351</f>
        <v>-0.9376786125499365</v>
      </c>
      <c r="H351" s="1">
        <f>1201000+35000+6001278-3999960</f>
        <v>3237318</v>
      </c>
    </row>
    <row r="352" spans="1:8" ht="18" customHeight="1">
      <c r="A352" s="1" t="s">
        <v>94</v>
      </c>
      <c r="B352" s="1">
        <v>0</v>
      </c>
      <c r="C352" s="1">
        <v>0</v>
      </c>
      <c r="D352" s="1">
        <v>412690</v>
      </c>
      <c r="E352" s="6">
        <f>(F352-D352)/D352</f>
        <v>-1</v>
      </c>
      <c r="F352" s="1">
        <v>0</v>
      </c>
      <c r="G352" s="6" t="e">
        <f>(H352-F352)/F352</f>
        <v>#DIV/0!</v>
      </c>
      <c r="H352" s="1">
        <v>0</v>
      </c>
    </row>
    <row r="353" spans="1:8" ht="18" customHeight="1">
      <c r="A353" s="3" t="s">
        <v>176</v>
      </c>
      <c r="B353" s="3">
        <f>SUM(B345:B352)</f>
        <v>5383374</v>
      </c>
      <c r="C353" s="3">
        <f>SUM(C345:C352)</f>
        <v>3028705</v>
      </c>
      <c r="D353" s="3">
        <f>SUM(D345:D352)</f>
        <v>13427244</v>
      </c>
      <c r="E353" s="6">
        <f>(F353-D353)/D353</f>
        <v>2.8686671665458676</v>
      </c>
      <c r="F353" s="3">
        <f>SUM(F345:F352)</f>
        <v>51945538</v>
      </c>
      <c r="G353" s="6">
        <f>(H353-F353)/F353</f>
        <v>-0.9376786125499365</v>
      </c>
      <c r="H353" s="3">
        <f>SUM(H345:H352)</f>
        <v>3237318</v>
      </c>
    </row>
    <row r="354" spans="1:8" ht="18" customHeight="1">
      <c r="A354" s="3"/>
      <c r="B354" s="3"/>
      <c r="C354" s="3"/>
      <c r="D354" s="3"/>
      <c r="E354" s="6" t="e">
        <f>(F354-D354)/D354</f>
        <v>#DIV/0!</v>
      </c>
      <c r="F354" s="3"/>
      <c r="G354" s="6" t="e">
        <f>(H354-F354)/F354</f>
        <v>#DIV/0!</v>
      </c>
      <c r="H354" s="3"/>
    </row>
    <row r="355" spans="1:8" ht="18" customHeight="1">
      <c r="A355" s="3" t="s">
        <v>177</v>
      </c>
      <c r="B355" s="3">
        <f>+B353+B341</f>
        <v>9178452</v>
      </c>
      <c r="C355" s="3">
        <f>+C353+C341</f>
        <v>7702920</v>
      </c>
      <c r="D355" s="3">
        <f>+D353+D341</f>
        <v>18168362</v>
      </c>
      <c r="E355" s="6">
        <f>(F355-D355)/D355</f>
        <v>2.0926498492269143</v>
      </c>
      <c r="F355" s="3">
        <f>+F353+F341</f>
        <v>56188382</v>
      </c>
      <c r="G355" s="6">
        <f>(H355-F355)/F355</f>
        <v>-0.8577316748505056</v>
      </c>
      <c r="H355" s="3">
        <f>+H353+H341</f>
        <v>7993827</v>
      </c>
    </row>
    <row r="356" spans="1:8" ht="18" customHeight="1">
      <c r="A356" s="3"/>
      <c r="B356" s="3"/>
      <c r="C356" s="3"/>
      <c r="D356" s="3"/>
      <c r="E356" s="6"/>
      <c r="F356" s="3"/>
      <c r="G356" s="6"/>
      <c r="H356" s="3"/>
    </row>
    <row r="357" spans="2:8" ht="18" customHeight="1">
      <c r="B357" s="14"/>
      <c r="C357" s="14"/>
      <c r="D357" s="14"/>
      <c r="E357" s="6"/>
      <c r="F357" s="14"/>
      <c r="G357" s="6"/>
      <c r="H357" s="14"/>
    </row>
    <row r="358" spans="1:7" ht="18" customHeight="1">
      <c r="A358" s="3" t="s">
        <v>178</v>
      </c>
      <c r="E358" s="6"/>
      <c r="G358" s="6"/>
    </row>
    <row r="359" spans="1:7" ht="18" customHeight="1">
      <c r="A359" s="3" t="s">
        <v>131</v>
      </c>
      <c r="E359" s="6"/>
      <c r="G359" s="6"/>
    </row>
    <row r="360" spans="1:8" ht="18" customHeight="1">
      <c r="A360" s="1" t="s">
        <v>132</v>
      </c>
      <c r="B360" s="1">
        <f>B321</f>
        <v>6460148</v>
      </c>
      <c r="C360" s="1">
        <f>C321</f>
        <v>8518900</v>
      </c>
      <c r="D360" s="1">
        <f>D321</f>
        <v>5724629</v>
      </c>
      <c r="E360" s="6">
        <f>(F360-D360)/D360</f>
        <v>0.14319670322740566</v>
      </c>
      <c r="F360" s="1">
        <f>F321</f>
        <v>6544377</v>
      </c>
      <c r="G360" s="6">
        <f>(H360-F360)/F360</f>
        <v>-0.08432704900710947</v>
      </c>
      <c r="H360" s="1">
        <f>H321</f>
        <v>5992509</v>
      </c>
    </row>
    <row r="361" spans="1:8" ht="18" customHeight="1">
      <c r="A361" s="1" t="s">
        <v>133</v>
      </c>
      <c r="B361" s="1">
        <v>0</v>
      </c>
      <c r="C361" s="1">
        <v>0</v>
      </c>
      <c r="D361" s="1">
        <v>152406</v>
      </c>
      <c r="E361" s="6">
        <f>(F361-D361)/D361</f>
        <v>-1</v>
      </c>
      <c r="F361" s="1">
        <v>0</v>
      </c>
      <c r="G361" s="6" t="e">
        <f>(H361-F361)/F361</f>
        <v>#DIV/0!</v>
      </c>
      <c r="H361" s="1">
        <v>0</v>
      </c>
    </row>
    <row r="362" spans="1:8" ht="18" customHeight="1">
      <c r="A362" s="3" t="s">
        <v>74</v>
      </c>
      <c r="B362" s="3">
        <f>B360+B361</f>
        <v>6460148</v>
      </c>
      <c r="C362" s="3">
        <f>C360+C361</f>
        <v>8518900</v>
      </c>
      <c r="D362" s="3">
        <f>D360+D361</f>
        <v>5877035</v>
      </c>
      <c r="E362" s="6">
        <f>(F362-D362)/D362</f>
        <v>0.11355079559675925</v>
      </c>
      <c r="F362" s="3">
        <f>F360+F361</f>
        <v>6544377</v>
      </c>
      <c r="G362" s="6">
        <f>(H362-F362)/F362</f>
        <v>-0.08432704900710947</v>
      </c>
      <c r="H362" s="3">
        <f>H360+H361</f>
        <v>5992509</v>
      </c>
    </row>
    <row r="363" spans="1:7" ht="18" customHeight="1">
      <c r="A363" s="3"/>
      <c r="E363" s="6"/>
      <c r="G363" s="6"/>
    </row>
    <row r="364" spans="1:7" ht="18" customHeight="1">
      <c r="A364" s="3" t="s">
        <v>135</v>
      </c>
      <c r="E364" s="6"/>
      <c r="G364" s="6"/>
    </row>
    <row r="365" spans="1:8" ht="18" customHeight="1">
      <c r="A365" s="1" t="s">
        <v>136</v>
      </c>
      <c r="B365" s="1">
        <v>62304</v>
      </c>
      <c r="C365" s="1">
        <f>C332+C344</f>
        <v>64662</v>
      </c>
      <c r="D365" s="1">
        <f>D332+D344</f>
        <v>17688</v>
      </c>
      <c r="E365" s="6">
        <f>(F365-D365)/D365</f>
        <v>0.034995477159656264</v>
      </c>
      <c r="F365" s="1">
        <f>F332+F344</f>
        <v>18307</v>
      </c>
      <c r="G365" s="6">
        <f>(H365-F365)/F365</f>
        <v>-0.03042552029278418</v>
      </c>
      <c r="H365" s="1">
        <f>H332+H344</f>
        <v>17750</v>
      </c>
    </row>
    <row r="366" spans="1:8" ht="18" customHeight="1">
      <c r="A366" s="1" t="s">
        <v>138</v>
      </c>
      <c r="B366" s="1">
        <v>97543</v>
      </c>
      <c r="C366" s="1">
        <f>C334+C346</f>
        <v>11627</v>
      </c>
      <c r="D366" s="1">
        <f>D334+D346</f>
        <v>56485</v>
      </c>
      <c r="E366" s="6">
        <f>(F366-D366)/D366</f>
        <v>-0.5574046206957599</v>
      </c>
      <c r="F366" s="1">
        <f>F334+F346</f>
        <v>25000</v>
      </c>
      <c r="G366" s="6">
        <f>(H366-F366)/F366</f>
        <v>0</v>
      </c>
      <c r="H366" s="1">
        <f>H334+H346</f>
        <v>25000</v>
      </c>
    </row>
    <row r="367" spans="1:8" ht="18" customHeight="1">
      <c r="A367" s="1" t="s">
        <v>139</v>
      </c>
      <c r="B367" s="1">
        <v>0</v>
      </c>
      <c r="C367" s="1">
        <f>C335+C347</f>
        <v>0</v>
      </c>
      <c r="D367" s="1">
        <f>D335+D347</f>
        <v>0</v>
      </c>
      <c r="E367" s="6"/>
      <c r="F367" s="1">
        <f>F335+F347</f>
        <v>0</v>
      </c>
      <c r="G367" s="6"/>
      <c r="H367" s="1">
        <f>H335+H347</f>
        <v>0</v>
      </c>
    </row>
    <row r="368" spans="1:8" ht="18" customHeight="1">
      <c r="A368" s="1" t="s">
        <v>140</v>
      </c>
      <c r="B368" s="1">
        <v>79148</v>
      </c>
      <c r="C368" s="1">
        <f>C336+C348</f>
        <v>86500</v>
      </c>
      <c r="D368" s="1">
        <f>D336+D348</f>
        <v>85172</v>
      </c>
      <c r="E368" s="6">
        <f>(F368-D368)/D368</f>
        <v>-0.05778894472361809</v>
      </c>
      <c r="F368" s="1">
        <f>F336+F348</f>
        <v>80250</v>
      </c>
      <c r="G368" s="6">
        <f>(H368-F368)/F368</f>
        <v>0.037383177570093455</v>
      </c>
      <c r="H368" s="1">
        <f>H336+H348</f>
        <v>83250</v>
      </c>
    </row>
    <row r="369" spans="1:8" ht="18" customHeight="1">
      <c r="A369" s="1" t="s">
        <v>141</v>
      </c>
      <c r="B369" s="1">
        <v>764079</v>
      </c>
      <c r="C369" s="1">
        <f>C337+C349</f>
        <v>1140499</v>
      </c>
      <c r="D369" s="1">
        <f>D337+D349</f>
        <v>1333440</v>
      </c>
      <c r="E369" s="6">
        <f>(F369-D369)/D369</f>
        <v>0.06149283057355411</v>
      </c>
      <c r="F369" s="1">
        <f>F337+F349</f>
        <v>1415437</v>
      </c>
      <c r="G369" s="6">
        <f>(H369-F369)/F369</f>
        <v>1.004681239786723</v>
      </c>
      <c r="H369" s="1">
        <f>H337+H349</f>
        <v>2837500</v>
      </c>
    </row>
    <row r="370" spans="1:8" ht="18" customHeight="1">
      <c r="A370" s="1" t="s">
        <v>179</v>
      </c>
      <c r="B370" s="1">
        <v>8175378</v>
      </c>
      <c r="C370" s="1">
        <f>+C338+C339+C350+C351</f>
        <v>6399632</v>
      </c>
      <c r="D370" s="1">
        <f>+D338+D339+D350+D351</f>
        <v>16262887</v>
      </c>
      <c r="E370" s="9">
        <f>(F370-D370)/D370</f>
        <v>2.360374329600888</v>
      </c>
      <c r="F370" s="15">
        <f>+F338+F339+F350+F351</f>
        <v>54649388</v>
      </c>
      <c r="G370" s="6">
        <f>(H370-F370)/F370</f>
        <v>-0.9079527294980869</v>
      </c>
      <c r="H370" s="1">
        <f>+H338+H339+H350+H351</f>
        <v>5030327</v>
      </c>
    </row>
    <row r="371" spans="1:8" ht="18" customHeight="1">
      <c r="A371" s="1" t="s">
        <v>143</v>
      </c>
      <c r="B371" s="1">
        <v>0</v>
      </c>
      <c r="C371" s="1">
        <f>C340+C352</f>
        <v>0</v>
      </c>
      <c r="D371" s="1">
        <f>D340+D352</f>
        <v>412690</v>
      </c>
      <c r="E371" s="6">
        <f>(F371-D371)/D371</f>
        <v>-1</v>
      </c>
      <c r="F371" s="1">
        <f>F340+F352</f>
        <v>0</v>
      </c>
      <c r="G371" s="6" t="e">
        <f>(H371-F371)/F371</f>
        <v>#DIV/0!</v>
      </c>
      <c r="H371" s="1">
        <f>H340+H352</f>
        <v>0</v>
      </c>
    </row>
    <row r="372" spans="1:8" ht="18" customHeight="1">
      <c r="A372" s="3" t="s">
        <v>144</v>
      </c>
      <c r="B372" s="3">
        <f>SUM(B365:B371)</f>
        <v>9178452</v>
      </c>
      <c r="C372" s="3">
        <f>SUM(C365:C371)</f>
        <v>7702920</v>
      </c>
      <c r="D372" s="3">
        <f>SUM(D365:D371)</f>
        <v>18168362</v>
      </c>
      <c r="E372" s="6">
        <f>(F372-D372)/D372</f>
        <v>2.0926498492269143</v>
      </c>
      <c r="F372" s="3">
        <f>SUM(F365:F371)</f>
        <v>56188382</v>
      </c>
      <c r="G372" s="6">
        <f>(H372-F372)/F372</f>
        <v>-0.8577316748505056</v>
      </c>
      <c r="H372" s="3">
        <f>SUM(H365:H371)</f>
        <v>7993827</v>
      </c>
    </row>
    <row r="373" spans="1:7" ht="18" customHeight="1">
      <c r="A373" s="3"/>
      <c r="E373" s="6"/>
      <c r="G373" s="6"/>
    </row>
    <row r="374" spans="1:8" ht="18" customHeight="1">
      <c r="A374" s="3" t="s">
        <v>145</v>
      </c>
      <c r="B374" s="3">
        <f>B362-B372</f>
        <v>-2718304</v>
      </c>
      <c r="C374" s="3">
        <f>C362-C372</f>
        <v>815980</v>
      </c>
      <c r="D374" s="3">
        <f>D362-D372</f>
        <v>-12291327</v>
      </c>
      <c r="E374" s="6">
        <f>(F374-D374)/D374</f>
        <v>3.0389459169054733</v>
      </c>
      <c r="F374" s="3">
        <f>F362-F372</f>
        <v>-49644005</v>
      </c>
      <c r="G374" s="6">
        <f>(H374-F374)/F374</f>
        <v>-0.9596866127138615</v>
      </c>
      <c r="H374" s="3">
        <f>H362-H372</f>
        <v>-2001318</v>
      </c>
    </row>
    <row r="375" spans="1:7" ht="18" customHeight="1">
      <c r="A375" s="3"/>
      <c r="E375" s="6"/>
      <c r="G375" s="6"/>
    </row>
    <row r="376" spans="1:8" ht="18" customHeight="1">
      <c r="A376" s="3" t="s">
        <v>146</v>
      </c>
      <c r="B376" s="3">
        <v>5902284</v>
      </c>
      <c r="C376" s="3">
        <v>3183980</v>
      </c>
      <c r="D376" s="3">
        <f>+C379</f>
        <v>3999960</v>
      </c>
      <c r="E376" s="6">
        <f>(F376-D376)/D376</f>
        <v>12.911459864598646</v>
      </c>
      <c r="F376" s="3">
        <f>+D379</f>
        <v>55645283</v>
      </c>
      <c r="G376" s="6">
        <f>(H376-F376)/F376</f>
        <v>-0.892151181978893</v>
      </c>
      <c r="H376" s="3">
        <f>+F379</f>
        <v>6001278</v>
      </c>
    </row>
    <row r="377" spans="1:8" ht="18" customHeight="1">
      <c r="A377" s="3" t="s">
        <v>164</v>
      </c>
      <c r="B377" s="3">
        <v>0</v>
      </c>
      <c r="C377" s="3">
        <v>0</v>
      </c>
      <c r="D377" s="3">
        <v>63936650</v>
      </c>
      <c r="E377" s="6">
        <f>(F377-D377)/D377</f>
        <v>-1</v>
      </c>
      <c r="F377" s="3">
        <v>0</v>
      </c>
      <c r="G377" s="6" t="e">
        <f>(H377-F377)/F377</f>
        <v>#DIV/0!</v>
      </c>
      <c r="H377" s="3">
        <v>0</v>
      </c>
    </row>
    <row r="378" spans="1:7" ht="18" customHeight="1">
      <c r="A378" s="3"/>
      <c r="E378" s="6"/>
      <c r="G378" s="6"/>
    </row>
    <row r="379" spans="1:8" ht="18" customHeight="1">
      <c r="A379" s="3" t="s">
        <v>148</v>
      </c>
      <c r="B379" s="3">
        <f>B374+B376</f>
        <v>3183980</v>
      </c>
      <c r="C379" s="3">
        <f>C374+C376</f>
        <v>3999960</v>
      </c>
      <c r="D379" s="3">
        <f>D374+D376+D377</f>
        <v>55645283</v>
      </c>
      <c r="E379" s="6">
        <f>(F379-D379)/D379</f>
        <v>-0.892151181978893</v>
      </c>
      <c r="F379" s="3">
        <f>F374+F376</f>
        <v>6001278</v>
      </c>
      <c r="G379" s="6">
        <f>(H379-F379)/F379</f>
        <v>-0.3334819683407434</v>
      </c>
      <c r="H379" s="3">
        <f>H374+H376</f>
        <v>3999960</v>
      </c>
    </row>
    <row r="380" spans="5:7" ht="18" customHeight="1">
      <c r="E380" s="6"/>
      <c r="G380" s="6"/>
    </row>
    <row r="381" spans="5:7" ht="18" customHeight="1">
      <c r="E381" s="6"/>
      <c r="G381" s="6"/>
    </row>
    <row r="382" spans="1:7" ht="26.25" customHeight="1">
      <c r="A382" s="2" t="s">
        <v>0</v>
      </c>
      <c r="E382" s="6"/>
      <c r="G382" s="6"/>
    </row>
    <row r="383" spans="1:7" ht="18" customHeight="1">
      <c r="A383" s="3" t="s">
        <v>1</v>
      </c>
      <c r="E383" s="6"/>
      <c r="G383" s="6"/>
    </row>
    <row r="384" spans="1:7" ht="18" customHeight="1">
      <c r="A384" s="3" t="s">
        <v>2</v>
      </c>
      <c r="E384" s="6"/>
      <c r="G384" s="6"/>
    </row>
    <row r="385" spans="2:8" ht="18" customHeight="1">
      <c r="B385" s="12" t="s">
        <v>3</v>
      </c>
      <c r="C385" s="4" t="s">
        <v>4</v>
      </c>
      <c r="D385" s="4" t="s">
        <v>5</v>
      </c>
      <c r="E385" s="6"/>
      <c r="F385" s="4" t="s">
        <v>7</v>
      </c>
      <c r="G385" s="6"/>
      <c r="H385" s="4" t="s">
        <v>8</v>
      </c>
    </row>
    <row r="386" spans="1:8" ht="18" customHeight="1">
      <c r="A386" s="12" t="s">
        <v>180</v>
      </c>
      <c r="B386" s="4"/>
      <c r="C386" s="4"/>
      <c r="D386" s="4"/>
      <c r="E386" s="6"/>
      <c r="F386" s="4" t="s">
        <v>9</v>
      </c>
      <c r="G386" s="6"/>
      <c r="H386" s="4"/>
    </row>
    <row r="387" spans="1:7" ht="18" customHeight="1">
      <c r="A387" s="3" t="s">
        <v>11</v>
      </c>
      <c r="E387" s="6"/>
      <c r="G387" s="6"/>
    </row>
    <row r="388" spans="1:7" ht="18" customHeight="1">
      <c r="A388" s="3" t="s">
        <v>12</v>
      </c>
      <c r="E388" s="6"/>
      <c r="G388" s="6"/>
    </row>
    <row r="389" spans="1:8" ht="18" customHeight="1">
      <c r="A389" s="1" t="s">
        <v>181</v>
      </c>
      <c r="B389" s="1">
        <v>628742</v>
      </c>
      <c r="C389" s="1">
        <v>651315</v>
      </c>
      <c r="D389" s="1">
        <v>692435</v>
      </c>
      <c r="E389" s="6">
        <f>(F389-D389)/D389</f>
        <v>0.2419938333561995</v>
      </c>
      <c r="F389" s="1">
        <v>860000</v>
      </c>
      <c r="G389" s="6">
        <f>(H389-F389)/F389</f>
        <v>-0.17151162790697674</v>
      </c>
      <c r="H389" s="1">
        <v>712500</v>
      </c>
    </row>
    <row r="390" spans="1:8" ht="18" customHeight="1">
      <c r="A390" s="3" t="s">
        <v>23</v>
      </c>
      <c r="B390" s="3">
        <f>B389</f>
        <v>628742</v>
      </c>
      <c r="C390" s="3">
        <f>C389</f>
        <v>651315</v>
      </c>
      <c r="D390" s="3">
        <f>D389</f>
        <v>692435</v>
      </c>
      <c r="E390" s="6">
        <f>(F390-D390)/D390</f>
        <v>0.2419938333561995</v>
      </c>
      <c r="F390" s="3">
        <f>F389</f>
        <v>860000</v>
      </c>
      <c r="G390" s="6">
        <f>(H390-F390)/F390</f>
        <v>-0.17151162790697674</v>
      </c>
      <c r="H390" s="3">
        <f>H389</f>
        <v>712500</v>
      </c>
    </row>
    <row r="391" spans="2:8" ht="18" customHeight="1">
      <c r="B391" s="14"/>
      <c r="C391" s="14"/>
      <c r="D391" s="14"/>
      <c r="E391" s="6"/>
      <c r="F391" s="14"/>
      <c r="G391" s="6"/>
      <c r="H391" s="14"/>
    </row>
    <row r="392" spans="1:8" ht="18" customHeight="1">
      <c r="A392" s="3" t="s">
        <v>24</v>
      </c>
      <c r="B392" s="14"/>
      <c r="C392" s="14"/>
      <c r="D392" s="14"/>
      <c r="E392" s="6"/>
      <c r="F392" s="14"/>
      <c r="G392" s="6"/>
      <c r="H392" s="14"/>
    </row>
    <row r="393" spans="1:8" ht="18" customHeight="1">
      <c r="A393" s="1" t="s">
        <v>182</v>
      </c>
      <c r="B393" s="1">
        <v>324463</v>
      </c>
      <c r="C393" s="1">
        <v>352194</v>
      </c>
      <c r="D393" s="1">
        <v>379414</v>
      </c>
      <c r="E393" s="6">
        <f>(F393-D393)/D393</f>
        <v>0.08720289709921089</v>
      </c>
      <c r="F393" s="1">
        <v>412500</v>
      </c>
      <c r="G393" s="6">
        <f>(H393-F393)/F393</f>
        <v>0.06060606060606061</v>
      </c>
      <c r="H393" s="1">
        <v>437500</v>
      </c>
    </row>
    <row r="394" spans="1:8" ht="18" customHeight="1">
      <c r="A394" s="3" t="s">
        <v>59</v>
      </c>
      <c r="B394" s="3">
        <f>B393</f>
        <v>324463</v>
      </c>
      <c r="C394" s="3">
        <f>C393</f>
        <v>352194</v>
      </c>
      <c r="D394" s="3">
        <f>D393</f>
        <v>379414</v>
      </c>
      <c r="E394" s="6">
        <f>(F394-D394)/D394</f>
        <v>0.08720289709921089</v>
      </c>
      <c r="F394" s="3">
        <f>F393</f>
        <v>412500</v>
      </c>
      <c r="G394" s="6">
        <f>(H394-F394)/F394</f>
        <v>0.06060606060606061</v>
      </c>
      <c r="H394" s="3">
        <f>H393</f>
        <v>437500</v>
      </c>
    </row>
    <row r="395" spans="1:8" ht="18" customHeight="1">
      <c r="A395" s="3"/>
      <c r="B395" s="3"/>
      <c r="C395" s="3"/>
      <c r="D395" s="3"/>
      <c r="E395" s="6"/>
      <c r="F395" s="3"/>
      <c r="G395" s="6"/>
      <c r="H395" s="3"/>
    </row>
    <row r="396" spans="1:8" ht="18" customHeight="1">
      <c r="A396" s="3" t="s">
        <v>60</v>
      </c>
      <c r="B396" s="3"/>
      <c r="C396" s="3"/>
      <c r="D396" s="3"/>
      <c r="E396" s="6"/>
      <c r="F396" s="3"/>
      <c r="G396" s="6"/>
      <c r="H396" s="3"/>
    </row>
    <row r="397" spans="1:8" ht="18" customHeight="1">
      <c r="A397" s="1" t="s">
        <v>183</v>
      </c>
      <c r="B397" s="1">
        <v>1016563</v>
      </c>
      <c r="C397" s="1">
        <v>1035017</v>
      </c>
      <c r="D397" s="1">
        <v>1087450</v>
      </c>
      <c r="E397" s="6">
        <f>(F397-D397)/D397</f>
        <v>0.04017472067681273</v>
      </c>
      <c r="F397" s="1">
        <v>1131138</v>
      </c>
      <c r="G397" s="6">
        <f>(H397-F397)/F397</f>
        <v>0.16033587413737316</v>
      </c>
      <c r="H397" s="1">
        <v>1312500</v>
      </c>
    </row>
    <row r="398" spans="1:8" ht="18" customHeight="1">
      <c r="A398" s="1" t="s">
        <v>184</v>
      </c>
      <c r="B398" s="1">
        <v>134009</v>
      </c>
      <c r="C398" s="1">
        <v>143043</v>
      </c>
      <c r="D398" s="1">
        <v>170794</v>
      </c>
      <c r="E398" s="6">
        <f>(F398-D398)/D398</f>
        <v>-0.07783645795519749</v>
      </c>
      <c r="F398" s="1">
        <v>157500</v>
      </c>
      <c r="G398" s="6">
        <f>(H398-F398)/F398</f>
        <v>0.03015873015873016</v>
      </c>
      <c r="H398" s="1">
        <v>162250</v>
      </c>
    </row>
    <row r="399" spans="1:8" ht="18" customHeight="1">
      <c r="A399" s="3" t="s">
        <v>73</v>
      </c>
      <c r="B399" s="3">
        <f>B398+B397</f>
        <v>1150572</v>
      </c>
      <c r="C399" s="3">
        <f>C398+C397</f>
        <v>1178060</v>
      </c>
      <c r="D399" s="3">
        <f>D398+D397</f>
        <v>1258244</v>
      </c>
      <c r="E399" s="6">
        <f>(F399-D399)/D399</f>
        <v>0.024155887093441335</v>
      </c>
      <c r="F399" s="3">
        <f>F398+F397</f>
        <v>1288638</v>
      </c>
      <c r="G399" s="6">
        <f>(H399-F399)/F399</f>
        <v>0.14442535452159566</v>
      </c>
      <c r="H399" s="3">
        <f>H398+H397</f>
        <v>1474750</v>
      </c>
    </row>
    <row r="400" spans="2:8" ht="18" customHeight="1">
      <c r="B400" s="3"/>
      <c r="C400" s="3"/>
      <c r="D400" s="3"/>
      <c r="E400" s="6"/>
      <c r="F400" s="3"/>
      <c r="G400" s="6"/>
      <c r="H400" s="3"/>
    </row>
    <row r="401" spans="1:8" ht="18" customHeight="1">
      <c r="A401" s="3" t="s">
        <v>74</v>
      </c>
      <c r="B401" s="3">
        <f>B390+B394+B399</f>
        <v>2103777</v>
      </c>
      <c r="C401" s="3">
        <f>C390+C394+C399</f>
        <v>2181569</v>
      </c>
      <c r="D401" s="3">
        <f>D390+D394+D399</f>
        <v>2330093</v>
      </c>
      <c r="E401" s="6">
        <f>(F401-D401)/D401</f>
        <v>0.09915698643788037</v>
      </c>
      <c r="F401" s="3">
        <f>F390+F394+F399</f>
        <v>2561138</v>
      </c>
      <c r="G401" s="6">
        <f>(H401-F401)/F401</f>
        <v>0.024837396501086625</v>
      </c>
      <c r="H401" s="3">
        <f>H390+H394+H399</f>
        <v>2624750</v>
      </c>
    </row>
    <row r="402" spans="2:8" ht="18" customHeight="1">
      <c r="B402" s="14"/>
      <c r="C402" s="14"/>
      <c r="D402" s="14"/>
      <c r="E402" s="6"/>
      <c r="F402" s="14"/>
      <c r="G402" s="6"/>
      <c r="H402" s="14"/>
    </row>
    <row r="403" spans="2:8" ht="18" customHeight="1">
      <c r="B403" s="14"/>
      <c r="C403" s="14"/>
      <c r="D403" s="14"/>
      <c r="E403" s="6"/>
      <c r="F403" s="14"/>
      <c r="G403" s="6"/>
      <c r="H403" s="14"/>
    </row>
    <row r="404" spans="1:8" ht="18" customHeight="1">
      <c r="A404" s="3" t="s">
        <v>75</v>
      </c>
      <c r="B404" s="14"/>
      <c r="C404" s="14"/>
      <c r="D404" s="14"/>
      <c r="E404" s="6"/>
      <c r="F404" s="14"/>
      <c r="G404" s="6"/>
      <c r="H404" s="14"/>
    </row>
    <row r="405" spans="1:8" ht="18" customHeight="1">
      <c r="A405" s="3" t="s">
        <v>185</v>
      </c>
      <c r="B405" s="14"/>
      <c r="C405" s="14"/>
      <c r="D405" s="14"/>
      <c r="E405" s="6"/>
      <c r="F405" s="14"/>
      <c r="G405" s="6"/>
      <c r="H405" s="14"/>
    </row>
    <row r="406" spans="1:8" ht="18" customHeight="1">
      <c r="A406" s="1" t="s">
        <v>171</v>
      </c>
      <c r="B406" s="1">
        <v>643127</v>
      </c>
      <c r="C406" s="1">
        <v>682667</v>
      </c>
      <c r="D406" s="1">
        <v>706551</v>
      </c>
      <c r="E406" s="6">
        <f>(F406-D406)/D406</f>
        <v>0.052461888809158856</v>
      </c>
      <c r="F406" s="1">
        <v>743618</v>
      </c>
      <c r="G406" s="6">
        <f>(H406-F406)/F406</f>
        <v>0.04656019622978465</v>
      </c>
      <c r="H406" s="1">
        <v>778241</v>
      </c>
    </row>
    <row r="407" spans="1:8" ht="18" customHeight="1">
      <c r="A407" s="3" t="s">
        <v>81</v>
      </c>
      <c r="B407" s="3">
        <f>B406</f>
        <v>643127</v>
      </c>
      <c r="C407" s="3">
        <f>C406</f>
        <v>682667</v>
      </c>
      <c r="D407" s="3">
        <f>D406</f>
        <v>706551</v>
      </c>
      <c r="E407" s="6">
        <f>(F407-D407)/D407</f>
        <v>0.052461888809158856</v>
      </c>
      <c r="F407" s="3">
        <f>F406</f>
        <v>743618</v>
      </c>
      <c r="G407" s="6">
        <f>(H407-F407)/F407</f>
        <v>0.04656019622978465</v>
      </c>
      <c r="H407" s="3">
        <f>H406</f>
        <v>778241</v>
      </c>
    </row>
    <row r="408" spans="1:8" ht="18" customHeight="1">
      <c r="A408" s="1" t="s">
        <v>82</v>
      </c>
      <c r="B408" s="1">
        <v>135537</v>
      </c>
      <c r="C408" s="1">
        <v>54412</v>
      </c>
      <c r="D408" s="1">
        <v>174948</v>
      </c>
      <c r="E408" s="6">
        <f>(F408-D408)/D408</f>
        <v>0.00694492077645929</v>
      </c>
      <c r="F408" s="1">
        <v>176163</v>
      </c>
      <c r="G408" s="6">
        <f>(H408-F408)/F408</f>
        <v>0.07571964600966151</v>
      </c>
      <c r="H408" s="1">
        <v>189502</v>
      </c>
    </row>
    <row r="409" spans="1:8" ht="18" customHeight="1">
      <c r="A409" s="1" t="s">
        <v>83</v>
      </c>
      <c r="B409" s="1">
        <v>49374</v>
      </c>
      <c r="C409" s="1">
        <v>49863</v>
      </c>
      <c r="D409" s="1">
        <v>54933</v>
      </c>
      <c r="E409" s="6">
        <f>(F409-D409)/D409</f>
        <v>0.03557060419055941</v>
      </c>
      <c r="F409" s="1">
        <v>56887</v>
      </c>
      <c r="G409" s="6">
        <f>(H409-F409)/F409</f>
        <v>0.046548420553026174</v>
      </c>
      <c r="H409" s="1">
        <v>59535</v>
      </c>
    </row>
    <row r="410" spans="1:8" ht="18" customHeight="1">
      <c r="A410" s="1" t="s">
        <v>84</v>
      </c>
      <c r="B410" s="1">
        <v>235437</v>
      </c>
      <c r="C410" s="1">
        <v>24032</v>
      </c>
      <c r="D410" s="1">
        <v>106764</v>
      </c>
      <c r="E410" s="6">
        <f>(F410-D410)/D410</f>
        <v>1.7784084522872878</v>
      </c>
      <c r="F410" s="1">
        <v>296634</v>
      </c>
      <c r="G410" s="6">
        <f>(H410-F410)/F410</f>
        <v>0.12252809859962108</v>
      </c>
      <c r="H410" s="1">
        <v>332980</v>
      </c>
    </row>
    <row r="411" spans="1:8" ht="18" customHeight="1">
      <c r="A411" s="3" t="s">
        <v>86</v>
      </c>
      <c r="B411" s="3">
        <f>SUM(B408:B410)</f>
        <v>420348</v>
      </c>
      <c r="C411" s="3">
        <f>SUM(C408:C410)</f>
        <v>128307</v>
      </c>
      <c r="D411" s="3">
        <f>SUM(D408:D410)</f>
        <v>336645</v>
      </c>
      <c r="E411" s="6">
        <f>(F411-D411)/D411</f>
        <v>0.5734200715887656</v>
      </c>
      <c r="F411" s="3">
        <f>SUM(F408:F410)</f>
        <v>529684</v>
      </c>
      <c r="G411" s="6">
        <f>(H411-F411)/F411</f>
        <v>0.09880041685231195</v>
      </c>
      <c r="H411" s="3">
        <f>SUM(H408:H410)</f>
        <v>582017</v>
      </c>
    </row>
    <row r="412" spans="1:8" ht="18" customHeight="1">
      <c r="A412" s="1" t="s">
        <v>87</v>
      </c>
      <c r="B412" s="1">
        <v>0</v>
      </c>
      <c r="C412" s="1">
        <v>0</v>
      </c>
      <c r="D412" s="1">
        <v>0</v>
      </c>
      <c r="E412" s="6"/>
      <c r="F412" s="1">
        <v>0</v>
      </c>
      <c r="G412" s="6"/>
      <c r="H412" s="1">
        <v>0</v>
      </c>
    </row>
    <row r="413" spans="1:8" ht="18" customHeight="1">
      <c r="A413" s="1" t="s">
        <v>88</v>
      </c>
      <c r="B413" s="1">
        <v>7418</v>
      </c>
      <c r="C413" s="1">
        <v>3076</v>
      </c>
      <c r="D413" s="1">
        <v>4899</v>
      </c>
      <c r="E413" s="6">
        <f>(F413-D413)/D413</f>
        <v>-0.4386609512145336</v>
      </c>
      <c r="F413" s="1">
        <v>2750</v>
      </c>
      <c r="G413" s="6">
        <f>(H413-F413)/F413</f>
        <v>1.7272727272727273</v>
      </c>
      <c r="H413" s="1">
        <v>7500</v>
      </c>
    </row>
    <row r="414" spans="1:8" ht="18" customHeight="1">
      <c r="A414" s="1" t="s">
        <v>89</v>
      </c>
      <c r="B414" s="1">
        <v>1183</v>
      </c>
      <c r="C414" s="1">
        <v>2270</v>
      </c>
      <c r="D414" s="1">
        <v>1620</v>
      </c>
      <c r="E414" s="6">
        <f>(F414-D414)/D414</f>
        <v>0.3888888888888889</v>
      </c>
      <c r="F414" s="1">
        <v>2250</v>
      </c>
      <c r="G414" s="6">
        <f>(H414-F414)/F414</f>
        <v>0</v>
      </c>
      <c r="H414" s="1">
        <v>2250</v>
      </c>
    </row>
    <row r="415" spans="1:8" ht="18" customHeight="1">
      <c r="A415" s="1" t="s">
        <v>186</v>
      </c>
      <c r="B415" s="1">
        <f>4270+14355</f>
        <v>18625</v>
      </c>
      <c r="C415" s="1">
        <f>5458+18119</f>
        <v>23577</v>
      </c>
      <c r="D415" s="1">
        <f>6197+24121</f>
        <v>30318</v>
      </c>
      <c r="E415" s="6">
        <f>(F415-D415)/D415</f>
        <v>-0.5712118213602481</v>
      </c>
      <c r="F415" s="1">
        <f>6250+6750</f>
        <v>13000</v>
      </c>
      <c r="G415" s="6">
        <f>(H415-F415)/F415</f>
        <v>0</v>
      </c>
      <c r="H415" s="1">
        <v>13000</v>
      </c>
    </row>
    <row r="416" spans="1:8" ht="18" customHeight="1">
      <c r="A416" s="1" t="s">
        <v>187</v>
      </c>
      <c r="B416" s="1">
        <v>1137325</v>
      </c>
      <c r="C416" s="1">
        <v>1196501</v>
      </c>
      <c r="D416" s="1">
        <v>1239674</v>
      </c>
      <c r="E416" s="6">
        <f>(F416-D416)/D416</f>
        <v>0.019490608014687733</v>
      </c>
      <c r="F416" s="1">
        <v>1263836</v>
      </c>
      <c r="G416" s="6">
        <f>(H416-F416)/F416</f>
        <v>-0.028163464246943434</v>
      </c>
      <c r="H416" s="1">
        <v>1228242</v>
      </c>
    </row>
    <row r="417" spans="1:8" ht="18" customHeight="1">
      <c r="A417" s="1" t="s">
        <v>188</v>
      </c>
      <c r="B417" s="1">
        <v>3516</v>
      </c>
      <c r="C417" s="1">
        <v>16866</v>
      </c>
      <c r="D417" s="1">
        <v>9505</v>
      </c>
      <c r="E417" s="6">
        <f>(F417-D417)/D417</f>
        <v>-0.4739610731194108</v>
      </c>
      <c r="F417" s="1">
        <v>5000</v>
      </c>
      <c r="G417" s="6">
        <f>(H417-F417)/F417</f>
        <v>1.5</v>
      </c>
      <c r="H417" s="1">
        <v>12500</v>
      </c>
    </row>
    <row r="418" spans="1:8" ht="18" customHeight="1">
      <c r="A418" s="1" t="s">
        <v>94</v>
      </c>
      <c r="B418" s="1">
        <v>2767</v>
      </c>
      <c r="C418" s="1">
        <v>700</v>
      </c>
      <c r="D418" s="1">
        <v>881</v>
      </c>
      <c r="E418" s="6">
        <f>(F418-D418)/D418</f>
        <v>0.13507377979568672</v>
      </c>
      <c r="F418" s="1">
        <v>1000</v>
      </c>
      <c r="G418" s="6">
        <f>(H418-F418)/F418</f>
        <v>0</v>
      </c>
      <c r="H418" s="1">
        <v>1000</v>
      </c>
    </row>
    <row r="419" spans="1:8" ht="18" customHeight="1">
      <c r="A419" s="3" t="s">
        <v>189</v>
      </c>
      <c r="B419" s="3">
        <f>SUM(B411:B418)+B407</f>
        <v>2234309</v>
      </c>
      <c r="C419" s="3">
        <f>SUM(C411:C418)+C407</f>
        <v>2053964</v>
      </c>
      <c r="D419" s="3">
        <f>SUM(D411:D418)+D407</f>
        <v>2330093</v>
      </c>
      <c r="E419" s="6">
        <f>(F419-D419)/D419</f>
        <v>0.09915698643788037</v>
      </c>
      <c r="F419" s="3">
        <f>SUM(F411:F418)+F407</f>
        <v>2561138</v>
      </c>
      <c r="G419" s="6">
        <f>(H419-F419)/F419</f>
        <v>0.024837396501086625</v>
      </c>
      <c r="H419" s="3">
        <f>SUM(H411:H418)+H407</f>
        <v>2624750</v>
      </c>
    </row>
    <row r="420" spans="2:8" ht="18" customHeight="1">
      <c r="B420" s="14"/>
      <c r="C420" s="14"/>
      <c r="D420" s="14"/>
      <c r="E420" s="6"/>
      <c r="F420" s="14"/>
      <c r="G420" s="6"/>
      <c r="H420" s="14"/>
    </row>
    <row r="421" spans="1:8" ht="18" customHeight="1">
      <c r="A421" s="3" t="s">
        <v>145</v>
      </c>
      <c r="B421" s="3">
        <f>B401-B419</f>
        <v>-130532</v>
      </c>
      <c r="C421" s="3">
        <f>C401-C419</f>
        <v>127605</v>
      </c>
      <c r="D421" s="3">
        <f>D401-D419</f>
        <v>0</v>
      </c>
      <c r="E421" s="6"/>
      <c r="F421" s="3">
        <f>F401-F419</f>
        <v>0</v>
      </c>
      <c r="G421" s="6"/>
      <c r="H421" s="3">
        <f>H401-H419</f>
        <v>0</v>
      </c>
    </row>
    <row r="422" spans="1:7" ht="18" customHeight="1">
      <c r="A422" s="3"/>
      <c r="E422" s="6"/>
      <c r="G422" s="6"/>
    </row>
    <row r="423" spans="1:8" ht="18" customHeight="1">
      <c r="A423" s="3" t="s">
        <v>146</v>
      </c>
      <c r="B423" s="3">
        <v>37194</v>
      </c>
      <c r="C423" s="3">
        <v>-97546</v>
      </c>
      <c r="D423" s="3">
        <f>+C426</f>
        <v>38951</v>
      </c>
      <c r="E423" s="6">
        <f>(F423-D423)/D423</f>
        <v>0.4482811737824446</v>
      </c>
      <c r="F423" s="3">
        <f>+D426</f>
        <v>56412</v>
      </c>
      <c r="G423" s="6">
        <f>(H423-F423)/F423</f>
        <v>0</v>
      </c>
      <c r="H423" s="3">
        <f>+F426</f>
        <v>56412</v>
      </c>
    </row>
    <row r="424" spans="1:8" ht="18" customHeight="1">
      <c r="A424" s="3" t="s">
        <v>190</v>
      </c>
      <c r="B424" s="3">
        <v>-4208</v>
      </c>
      <c r="C424" s="3">
        <v>8892</v>
      </c>
      <c r="D424" s="3">
        <v>17461</v>
      </c>
      <c r="E424" s="6">
        <f>(F424-D424)/D424</f>
        <v>-1</v>
      </c>
      <c r="F424" s="3">
        <v>0</v>
      </c>
      <c r="G424" s="6" t="e">
        <f>(H424-F424)/F424</f>
        <v>#DIV/0!</v>
      </c>
      <c r="H424" s="3">
        <v>0</v>
      </c>
    </row>
    <row r="425" spans="1:7" ht="18" customHeight="1">
      <c r="A425" s="3"/>
      <c r="E425" s="6"/>
      <c r="G425" s="6"/>
    </row>
    <row r="426" spans="1:8" ht="18" customHeight="1">
      <c r="A426" s="3" t="s">
        <v>148</v>
      </c>
      <c r="B426" s="3">
        <f>B421+B423+B424</f>
        <v>-97546</v>
      </c>
      <c r="C426" s="3">
        <f>C421+C423+C424</f>
        <v>38951</v>
      </c>
      <c r="D426" s="3">
        <f>D421+D423+D424</f>
        <v>56412</v>
      </c>
      <c r="E426" s="6">
        <f>(F426-D426)/D426</f>
        <v>0</v>
      </c>
      <c r="F426" s="3">
        <f>F421+F423+F424</f>
        <v>56412</v>
      </c>
      <c r="G426" s="6">
        <f>(H426-F426)/F426</f>
        <v>0</v>
      </c>
      <c r="H426" s="3">
        <f>H421+H423+H424</f>
        <v>56412</v>
      </c>
    </row>
    <row r="427" spans="5:7" ht="18" customHeight="1">
      <c r="E427" s="6"/>
      <c r="G427" s="6"/>
    </row>
    <row r="428" spans="5:7" ht="14.25" customHeight="1">
      <c r="E428" s="6"/>
      <c r="G428" s="6"/>
    </row>
    <row r="429" spans="1:7" ht="27.75" customHeight="1">
      <c r="A429" s="2" t="s">
        <v>0</v>
      </c>
      <c r="E429" s="6"/>
      <c r="G429" s="6"/>
    </row>
    <row r="430" spans="1:7" ht="18" customHeight="1">
      <c r="A430" s="3" t="s">
        <v>1</v>
      </c>
      <c r="E430" s="6"/>
      <c r="G430" s="6"/>
    </row>
    <row r="431" spans="1:7" ht="18" customHeight="1">
      <c r="A431" s="3" t="s">
        <v>2</v>
      </c>
      <c r="E431" s="6"/>
      <c r="G431" s="6"/>
    </row>
    <row r="432" spans="2:8" ht="18" customHeight="1">
      <c r="B432" s="12" t="s">
        <v>3</v>
      </c>
      <c r="C432" s="4" t="s">
        <v>4</v>
      </c>
      <c r="D432" s="4" t="s">
        <v>5</v>
      </c>
      <c r="E432" s="6"/>
      <c r="F432" s="4" t="s">
        <v>7</v>
      </c>
      <c r="G432" s="6"/>
      <c r="H432" s="4" t="s">
        <v>8</v>
      </c>
    </row>
    <row r="433" spans="1:8" ht="18" customHeight="1">
      <c r="A433" s="16" t="s">
        <v>191</v>
      </c>
      <c r="B433" s="4"/>
      <c r="C433" s="4"/>
      <c r="D433" s="4"/>
      <c r="E433" s="6"/>
      <c r="F433" s="4" t="s">
        <v>9</v>
      </c>
      <c r="G433" s="6"/>
      <c r="H433" s="4"/>
    </row>
    <row r="434" spans="1:7" ht="18" customHeight="1">
      <c r="A434" s="3" t="s">
        <v>11</v>
      </c>
      <c r="E434" s="6"/>
      <c r="G434" s="6"/>
    </row>
    <row r="435" spans="1:7" ht="18" customHeight="1">
      <c r="A435" s="3" t="s">
        <v>12</v>
      </c>
      <c r="E435" s="6"/>
      <c r="G435" s="6"/>
    </row>
    <row r="436" spans="1:8" ht="18" customHeight="1">
      <c r="A436" s="1" t="s">
        <v>151</v>
      </c>
      <c r="B436" s="1">
        <v>4485</v>
      </c>
      <c r="C436" s="1">
        <v>2068</v>
      </c>
      <c r="D436" s="1">
        <v>478</v>
      </c>
      <c r="E436" s="6">
        <f>(F436-D436)/D436</f>
        <v>1.6150627615062763</v>
      </c>
      <c r="F436" s="1">
        <v>1250</v>
      </c>
      <c r="G436" s="6">
        <f>(H436-F436)/F436</f>
        <v>0</v>
      </c>
      <c r="H436" s="1">
        <v>1250</v>
      </c>
    </row>
    <row r="437" spans="1:8" ht="18" customHeight="1">
      <c r="A437" s="1" t="s">
        <v>152</v>
      </c>
      <c r="B437" s="1">
        <v>0</v>
      </c>
      <c r="C437" s="1">
        <v>0</v>
      </c>
      <c r="D437" s="1">
        <v>0</v>
      </c>
      <c r="E437" s="6"/>
      <c r="F437" s="1">
        <v>0</v>
      </c>
      <c r="G437" s="6"/>
      <c r="H437" s="1">
        <v>0</v>
      </c>
    </row>
    <row r="438" spans="1:8" ht="18" customHeight="1">
      <c r="A438" s="1" t="s">
        <v>192</v>
      </c>
      <c r="B438" s="1">
        <v>18697</v>
      </c>
      <c r="C438" s="1">
        <v>62864</v>
      </c>
      <c r="D438" s="1">
        <v>2361</v>
      </c>
      <c r="E438" s="6">
        <f>(F438-D438)/D438</f>
        <v>109.65226598898772</v>
      </c>
      <c r="F438" s="1">
        <v>261250</v>
      </c>
      <c r="G438" s="6">
        <f>(H438-F438)/F438</f>
        <v>0</v>
      </c>
      <c r="H438" s="1">
        <v>261250</v>
      </c>
    </row>
    <row r="439" spans="1:8" ht="18" customHeight="1">
      <c r="A439" s="3" t="s">
        <v>159</v>
      </c>
      <c r="B439" s="3">
        <f>SUM(B436:B438)</f>
        <v>23182</v>
      </c>
      <c r="C439" s="3">
        <f>SUM(C436:C438)</f>
        <v>64932</v>
      </c>
      <c r="D439" s="3">
        <f>SUM(D436:D438)</f>
        <v>2839</v>
      </c>
      <c r="E439" s="6">
        <f>(F439-D439)/D439</f>
        <v>91.46213455442057</v>
      </c>
      <c r="F439" s="3">
        <f>SUM(F436:F438)</f>
        <v>262500</v>
      </c>
      <c r="G439" s="6">
        <f>(H439-F439)/F439</f>
        <v>0</v>
      </c>
      <c r="H439" s="3">
        <f>SUM(H436:H438)</f>
        <v>262500</v>
      </c>
    </row>
    <row r="440" spans="5:7" ht="18" customHeight="1">
      <c r="E440" s="6"/>
      <c r="G440" s="6"/>
    </row>
    <row r="441" spans="1:8" ht="18" customHeight="1">
      <c r="A441" s="3" t="s">
        <v>75</v>
      </c>
      <c r="B441" s="14"/>
      <c r="C441" s="14"/>
      <c r="D441" s="14"/>
      <c r="E441" s="6"/>
      <c r="F441" s="14"/>
      <c r="G441" s="6"/>
      <c r="H441" s="14"/>
    </row>
    <row r="442" spans="1:8" ht="18" customHeight="1">
      <c r="A442" s="3"/>
      <c r="B442" s="14"/>
      <c r="C442" s="14"/>
      <c r="D442" s="14"/>
      <c r="E442" s="6"/>
      <c r="F442" s="14"/>
      <c r="G442" s="6"/>
      <c r="H442" s="14"/>
    </row>
    <row r="443" spans="1:8" ht="18" customHeight="1">
      <c r="A443" s="1" t="s">
        <v>138</v>
      </c>
      <c r="B443" s="1">
        <v>0</v>
      </c>
      <c r="C443" s="1">
        <v>0</v>
      </c>
      <c r="D443" s="1">
        <v>0</v>
      </c>
      <c r="E443" s="6"/>
      <c r="F443" s="1">
        <v>0</v>
      </c>
      <c r="G443" s="6"/>
      <c r="H443" s="1">
        <v>0</v>
      </c>
    </row>
    <row r="444" spans="1:8" ht="18" customHeight="1">
      <c r="A444" s="1" t="s">
        <v>140</v>
      </c>
      <c r="B444" s="1">
        <v>0</v>
      </c>
      <c r="C444" s="1">
        <v>0</v>
      </c>
      <c r="D444" s="1">
        <v>0</v>
      </c>
      <c r="E444" s="6"/>
      <c r="F444" s="1">
        <v>0</v>
      </c>
      <c r="G444" s="6"/>
      <c r="H444" s="1">
        <v>0</v>
      </c>
    </row>
    <row r="445" spans="1:8" ht="18" customHeight="1">
      <c r="A445" s="13" t="s">
        <v>141</v>
      </c>
      <c r="B445" s="1">
        <v>0</v>
      </c>
      <c r="C445" s="1">
        <v>0</v>
      </c>
      <c r="D445" s="1">
        <v>0</v>
      </c>
      <c r="E445" s="6"/>
      <c r="F445" s="1">
        <v>0</v>
      </c>
      <c r="G445" s="6"/>
      <c r="H445" s="1">
        <v>0</v>
      </c>
    </row>
    <row r="446" spans="1:8" ht="18" customHeight="1">
      <c r="A446" s="1" t="s">
        <v>140</v>
      </c>
      <c r="B446" s="1">
        <v>18697</v>
      </c>
      <c r="C446" s="1">
        <v>15873</v>
      </c>
      <c r="D446" s="1">
        <v>8707</v>
      </c>
      <c r="E446" s="6">
        <f>(F446-D446)/D446</f>
        <v>29.148156655564488</v>
      </c>
      <c r="F446" s="1">
        <v>262500</v>
      </c>
      <c r="G446" s="6">
        <f>(H446-F446)/F446</f>
        <v>0</v>
      </c>
      <c r="H446" s="1">
        <v>262500</v>
      </c>
    </row>
    <row r="447" spans="1:8" ht="18" customHeight="1">
      <c r="A447" s="3" t="s">
        <v>144</v>
      </c>
      <c r="B447" s="3">
        <f>SUM(B443:B446)</f>
        <v>18697</v>
      </c>
      <c r="C447" s="3">
        <f>SUM(C443:C446)</f>
        <v>15873</v>
      </c>
      <c r="D447" s="3">
        <f>SUM(D443:D446)</f>
        <v>8707</v>
      </c>
      <c r="E447" s="6">
        <f>(F447-D447)/D447</f>
        <v>29.148156655564488</v>
      </c>
      <c r="F447" s="3">
        <f>SUM(F443:F446)</f>
        <v>262500</v>
      </c>
      <c r="G447" s="6">
        <f>(H447-F447)/F447</f>
        <v>0</v>
      </c>
      <c r="H447" s="3">
        <f>SUM(H443:H446)</f>
        <v>262500</v>
      </c>
    </row>
    <row r="448" spans="2:8" ht="18" customHeight="1">
      <c r="B448" s="3"/>
      <c r="C448" s="3"/>
      <c r="D448" s="3"/>
      <c r="E448" s="6"/>
      <c r="F448" s="3"/>
      <c r="G448" s="6"/>
      <c r="H448" s="3"/>
    </row>
    <row r="449" spans="1:8" ht="18" customHeight="1">
      <c r="A449" s="3" t="s">
        <v>145</v>
      </c>
      <c r="B449" s="3">
        <f>B439-B447</f>
        <v>4485</v>
      </c>
      <c r="C449" s="3">
        <f>C439-C447</f>
        <v>49059</v>
      </c>
      <c r="D449" s="3">
        <f>D439-D447</f>
        <v>-5868</v>
      </c>
      <c r="E449" s="6">
        <f>(F449-D449)/D449</f>
        <v>-1</v>
      </c>
      <c r="F449" s="3">
        <f>F439-F447</f>
        <v>0</v>
      </c>
      <c r="G449" s="6" t="e">
        <f>(H449-F449)/F449</f>
        <v>#DIV/0!</v>
      </c>
      <c r="H449" s="3">
        <f>H439-H447</f>
        <v>0</v>
      </c>
    </row>
    <row r="450" spans="1:8" ht="18" customHeight="1">
      <c r="A450" s="3"/>
      <c r="B450" s="3"/>
      <c r="C450" s="3"/>
      <c r="D450" s="3"/>
      <c r="E450" s="6"/>
      <c r="F450" s="3"/>
      <c r="G450" s="6"/>
      <c r="H450" s="3"/>
    </row>
    <row r="451" spans="1:8" ht="18" customHeight="1">
      <c r="A451" s="3" t="s">
        <v>146</v>
      </c>
      <c r="B451" s="3">
        <v>45122</v>
      </c>
      <c r="C451" s="3">
        <f>+B454</f>
        <v>49607</v>
      </c>
      <c r="D451" s="3">
        <f>+C454</f>
        <v>98666</v>
      </c>
      <c r="E451" s="6">
        <f>(F451-D451)/D451</f>
        <v>-0.059473374820100136</v>
      </c>
      <c r="F451" s="3">
        <f>+D454</f>
        <v>92798</v>
      </c>
      <c r="G451" s="6">
        <f>(H451-F451)/F451</f>
        <v>0</v>
      </c>
      <c r="H451" s="3">
        <f>+F454</f>
        <v>92798</v>
      </c>
    </row>
    <row r="452" spans="1:8" ht="18" customHeight="1">
      <c r="A452" s="3" t="s">
        <v>147</v>
      </c>
      <c r="B452" s="3">
        <v>0</v>
      </c>
      <c r="C452" s="3">
        <v>0</v>
      </c>
      <c r="D452" s="3">
        <v>0</v>
      </c>
      <c r="E452" s="6"/>
      <c r="F452" s="3">
        <v>0</v>
      </c>
      <c r="G452" s="6"/>
      <c r="H452" s="3">
        <v>0</v>
      </c>
    </row>
    <row r="453" spans="1:8" ht="18" customHeight="1">
      <c r="A453" s="3"/>
      <c r="B453" s="3"/>
      <c r="C453" s="3"/>
      <c r="D453" s="3"/>
      <c r="E453" s="6"/>
      <c r="F453" s="3"/>
      <c r="G453" s="6"/>
      <c r="H453" s="3"/>
    </row>
    <row r="454" spans="1:8" ht="18" customHeight="1">
      <c r="A454" s="3" t="s">
        <v>148</v>
      </c>
      <c r="B454" s="3">
        <f>B449+B451+B452</f>
        <v>49607</v>
      </c>
      <c r="C454" s="3">
        <f>C449+C451+C452</f>
        <v>98666</v>
      </c>
      <c r="D454" s="3">
        <f>D449+D451+D452</f>
        <v>92798</v>
      </c>
      <c r="E454" s="6">
        <f>(F454-D454)/D454</f>
        <v>0</v>
      </c>
      <c r="F454" s="3">
        <f>F449+F451+F452</f>
        <v>92798</v>
      </c>
      <c r="G454" s="6">
        <f>(H454-F454)/F454</f>
        <v>0</v>
      </c>
      <c r="H454" s="3">
        <f>H449+H451+H452</f>
        <v>92798</v>
      </c>
    </row>
    <row r="455" spans="5:7" ht="18" customHeight="1">
      <c r="E455" s="6"/>
      <c r="G455" s="6"/>
    </row>
    <row r="456" spans="5:7" ht="18" customHeight="1">
      <c r="E456" s="6"/>
      <c r="G456" s="6"/>
    </row>
    <row r="457" spans="5:7" ht="18" customHeight="1">
      <c r="E457" s="6"/>
      <c r="G457" s="6"/>
    </row>
    <row r="458" spans="1:7" ht="25.5" customHeight="1">
      <c r="A458" s="2" t="s">
        <v>0</v>
      </c>
      <c r="E458" s="6"/>
      <c r="G458" s="6"/>
    </row>
    <row r="459" spans="1:7" ht="18" customHeight="1">
      <c r="A459" s="3" t="s">
        <v>1</v>
      </c>
      <c r="E459" s="6"/>
      <c r="G459" s="6"/>
    </row>
    <row r="460" spans="1:7" ht="18" customHeight="1">
      <c r="A460" s="10" t="s">
        <v>2</v>
      </c>
      <c r="E460" s="6"/>
      <c r="G460" s="6"/>
    </row>
    <row r="461" spans="2:8" ht="18" customHeight="1">
      <c r="B461" s="12" t="s">
        <v>3</v>
      </c>
      <c r="C461" s="4" t="s">
        <v>4</v>
      </c>
      <c r="D461" s="4" t="s">
        <v>5</v>
      </c>
      <c r="E461" s="6"/>
      <c r="F461" s="4" t="s">
        <v>7</v>
      </c>
      <c r="G461" s="6"/>
      <c r="H461" s="4" t="s">
        <v>8</v>
      </c>
    </row>
    <row r="462" spans="1:8" ht="18" customHeight="1">
      <c r="A462" s="3" t="s">
        <v>193</v>
      </c>
      <c r="B462" s="4"/>
      <c r="C462" s="4"/>
      <c r="D462" s="4"/>
      <c r="E462" s="6"/>
      <c r="F462" s="4" t="s">
        <v>9</v>
      </c>
      <c r="G462" s="6"/>
      <c r="H462" s="4"/>
    </row>
    <row r="463" spans="1:7" ht="18" customHeight="1">
      <c r="A463" s="3" t="s">
        <v>11</v>
      </c>
      <c r="E463" s="6"/>
      <c r="G463" s="6"/>
    </row>
    <row r="464" spans="1:8" ht="18" customHeight="1">
      <c r="A464" s="1" t="s">
        <v>194</v>
      </c>
      <c r="B464" s="1">
        <f>B225+B261+B290+B360+B390+B439</f>
        <v>34140220</v>
      </c>
      <c r="C464" s="1">
        <f>C225+C261+C290+C360+C390+C439</f>
        <v>36503801</v>
      </c>
      <c r="D464" s="1">
        <f>D225+D261+D290+D360+D390+D439</f>
        <v>35590058</v>
      </c>
      <c r="E464" s="7">
        <f>(F464-D464)/D464</f>
        <v>0.24069941105462656</v>
      </c>
      <c r="F464" s="1">
        <f>F225+F261+F290+F360+F390+F439</f>
        <v>44156564</v>
      </c>
      <c r="G464" s="6">
        <f>(H464-F464)/F464</f>
        <v>0.0057425210892767834</v>
      </c>
      <c r="H464" s="1">
        <f>H225+H261+H290+H360+H390+H439</f>
        <v>44410134</v>
      </c>
    </row>
    <row r="465" spans="1:8" ht="18" customHeight="1">
      <c r="A465" s="1" t="s">
        <v>195</v>
      </c>
      <c r="B465" s="1">
        <f>B226+B394</f>
        <v>20241538</v>
      </c>
      <c r="C465" s="1">
        <f>C226+C394</f>
        <v>22053544</v>
      </c>
      <c r="D465" s="1">
        <f>D226+D394+D325</f>
        <v>23208726</v>
      </c>
      <c r="E465" s="6">
        <f>(F465-D465)/D465</f>
        <v>0.0555969767577936</v>
      </c>
      <c r="F465" s="1">
        <f>F226+F394</f>
        <v>24499061</v>
      </c>
      <c r="G465" s="6">
        <f>(H465-F465)/F465</f>
        <v>0.13912872007625107</v>
      </c>
      <c r="H465" s="1">
        <f>H226+H394</f>
        <v>27907584</v>
      </c>
    </row>
    <row r="466" spans="1:8" ht="18" customHeight="1">
      <c r="A466" s="1" t="s">
        <v>196</v>
      </c>
      <c r="B466" s="1">
        <f>B227+B399</f>
        <v>3292599</v>
      </c>
      <c r="C466" s="1">
        <f>C227+C399</f>
        <v>3582855</v>
      </c>
      <c r="D466" s="1">
        <f>D227+D399</f>
        <v>3795821</v>
      </c>
      <c r="E466" s="6">
        <f>(F466-D466)/D466</f>
        <v>-0.07606022517921683</v>
      </c>
      <c r="F466" s="1">
        <f>F227+F399</f>
        <v>3507110</v>
      </c>
      <c r="G466" s="6">
        <f>(H466-F466)/F466</f>
        <v>-0.03169418695164965</v>
      </c>
      <c r="H466" s="1">
        <f>H227+H399</f>
        <v>3395955</v>
      </c>
    </row>
    <row r="467" spans="1:8" ht="18" customHeight="1">
      <c r="A467" s="3" t="s">
        <v>159</v>
      </c>
      <c r="B467" s="3">
        <f>SUM(B464:B466)</f>
        <v>57674357</v>
      </c>
      <c r="C467" s="3">
        <f>SUM(C464:C466)</f>
        <v>62140200</v>
      </c>
      <c r="D467" s="3">
        <f>SUM(D464:D466)</f>
        <v>62594605</v>
      </c>
      <c r="E467" s="6">
        <f>(F467-D467)/D467</f>
        <v>0.1528587008417099</v>
      </c>
      <c r="F467" s="3">
        <f>SUM(F464:F466)</f>
        <v>72162735</v>
      </c>
      <c r="G467" s="6">
        <f>(H467-F467)/F467</f>
        <v>0.04920736443816882</v>
      </c>
      <c r="H467" s="3">
        <f>SUM(H464:H466)</f>
        <v>75713673</v>
      </c>
    </row>
    <row r="468" spans="5:7" ht="18" customHeight="1">
      <c r="E468" s="6"/>
      <c r="G468" s="6"/>
    </row>
    <row r="469" spans="1:7" ht="18" customHeight="1">
      <c r="A469" s="3" t="s">
        <v>75</v>
      </c>
      <c r="E469" s="6"/>
      <c r="G469" s="6"/>
    </row>
    <row r="470" spans="1:8" ht="18" customHeight="1">
      <c r="A470" s="1" t="s">
        <v>197</v>
      </c>
      <c r="B470" s="1">
        <f>B231+B264+B365+B407</f>
        <v>24786158</v>
      </c>
      <c r="C470" s="1">
        <f>C231+C264+C365+C407</f>
        <v>25903724</v>
      </c>
      <c r="D470" s="1">
        <f>D231+D264+D365+D407</f>
        <v>27331894</v>
      </c>
      <c r="E470" s="6">
        <f>(F470-D470)/D470</f>
        <v>0.10858460815046334</v>
      </c>
      <c r="F470" s="1">
        <f>F231+F264+F365+F407</f>
        <v>30299717</v>
      </c>
      <c r="G470" s="6">
        <f>(H470-F470)/F470</f>
        <v>0.059509730734448776</v>
      </c>
      <c r="H470" s="1">
        <f>H231+H264+H365+H407</f>
        <v>32102845</v>
      </c>
    </row>
    <row r="471" spans="1:8" ht="18" customHeight="1">
      <c r="A471" s="1" t="s">
        <v>198</v>
      </c>
      <c r="B471" s="1">
        <f>B232+B411</f>
        <v>14036924</v>
      </c>
      <c r="C471" s="1">
        <f>C232+C411</f>
        <v>15339620</v>
      </c>
      <c r="D471" s="1">
        <f>D232+D411</f>
        <v>16284548</v>
      </c>
      <c r="E471" s="6">
        <f>(F471-D471)/D471</f>
        <v>0.06938681994735131</v>
      </c>
      <c r="F471" s="1">
        <f>F232+F411</f>
        <v>17414481</v>
      </c>
      <c r="G471" s="6">
        <f>(H471-F471)/F471</f>
        <v>0.11862414963730472</v>
      </c>
      <c r="H471" s="1">
        <f>H232+H411</f>
        <v>19480259</v>
      </c>
    </row>
    <row r="472" spans="1:8" ht="18" customHeight="1">
      <c r="A472" s="1" t="s">
        <v>138</v>
      </c>
      <c r="B472" s="1">
        <f>+B233+B265+B366+B412+B443</f>
        <v>1099867</v>
      </c>
      <c r="C472" s="1">
        <f>+C233+C265+C366+C412+C443</f>
        <v>1203504</v>
      </c>
      <c r="D472" s="1">
        <f>+D233+D265+D366+D412+D443</f>
        <v>1346469</v>
      </c>
      <c r="E472" s="6">
        <f>(F472-D472)/D472</f>
        <v>-0.16327223278070271</v>
      </c>
      <c r="F472" s="1">
        <f>+F233+F265+F366+F412+F443</f>
        <v>1126628</v>
      </c>
      <c r="G472" s="6">
        <f>(H472-F472)/F472</f>
        <v>0.05753984456271281</v>
      </c>
      <c r="H472" s="1">
        <f>+H233+H265+H366+H412+H443</f>
        <v>1191454</v>
      </c>
    </row>
    <row r="473" spans="1:8" ht="18" customHeight="1">
      <c r="A473" s="13" t="s">
        <v>139</v>
      </c>
      <c r="B473" s="1">
        <f>B234+B367+B413</f>
        <v>114122</v>
      </c>
      <c r="C473" s="1">
        <f>C234+C367+C413</f>
        <v>104699</v>
      </c>
      <c r="D473" s="1">
        <f>D234+D367+D413</f>
        <v>114218</v>
      </c>
      <c r="E473" s="6">
        <f>(F473-D473)/D473</f>
        <v>-0.014752490850829116</v>
      </c>
      <c r="F473" s="1">
        <f>F234+F367+F413</f>
        <v>112533</v>
      </c>
      <c r="G473" s="6">
        <f>(H473-F473)/F473</f>
        <v>0.2944647347889064</v>
      </c>
      <c r="H473" s="1">
        <f>H234+H367+H413</f>
        <v>145670</v>
      </c>
    </row>
    <row r="474" spans="1:8" ht="18" customHeight="1">
      <c r="A474" s="13" t="s">
        <v>140</v>
      </c>
      <c r="B474" s="1">
        <f>B235+B266+B368+B414+B444</f>
        <v>898364</v>
      </c>
      <c r="C474" s="1">
        <f>C235+C266+C368+C414+C444</f>
        <v>863173</v>
      </c>
      <c r="D474" s="1">
        <f>D235+D266+D368+D414+D444</f>
        <v>1055582</v>
      </c>
      <c r="E474" s="6">
        <f>(F474-D474)/D474</f>
        <v>-0.2907827151277684</v>
      </c>
      <c r="F474" s="1">
        <f>F235+F266+F368+F414+F444</f>
        <v>748637</v>
      </c>
      <c r="G474" s="6">
        <f>(H474-F474)/F474</f>
        <v>0.153804848010451</v>
      </c>
      <c r="H474" s="1">
        <f>H235+H266+H368+H414+H444</f>
        <v>863781</v>
      </c>
    </row>
    <row r="475" spans="1:8" ht="18" customHeight="1">
      <c r="A475" s="1" t="s">
        <v>141</v>
      </c>
      <c r="B475" s="1">
        <f>B236+B267+B369+B415+B416+B445</f>
        <v>5450893</v>
      </c>
      <c r="C475" s="1">
        <f>C236+C267+C369+C415+C416+C445</f>
        <v>6012756</v>
      </c>
      <c r="D475" s="1">
        <f>D236+D267+D369+D415+D416+D445</f>
        <v>6525984</v>
      </c>
      <c r="E475" s="6">
        <f>(F475-D475)/D475</f>
        <v>0.08096158372438547</v>
      </c>
      <c r="F475" s="1">
        <f>F236+F267+F369+F415+F416+F445</f>
        <v>7054338</v>
      </c>
      <c r="G475" s="6">
        <f>(H475-F475)/F475</f>
        <v>0.18349319241578727</v>
      </c>
      <c r="H475" s="1">
        <f>H236+H267+H369+H415+H416+H445</f>
        <v>8348761</v>
      </c>
    </row>
    <row r="476" spans="1:8" ht="18" customHeight="1">
      <c r="A476" s="1" t="s">
        <v>179</v>
      </c>
      <c r="B476" s="1">
        <f>B237+B268+B370+B417</f>
        <v>8336294</v>
      </c>
      <c r="C476" s="1">
        <f>C237+C268+C370+C417</f>
        <v>6564180</v>
      </c>
      <c r="D476" s="1">
        <f>D237+D268+D370+D417</f>
        <v>16408340</v>
      </c>
      <c r="E476" s="6">
        <f>(F476-D476)/D476</f>
        <v>2.3366119302744823</v>
      </c>
      <c r="F476" s="1">
        <f>F237+F268+F370+F417</f>
        <v>54748263</v>
      </c>
      <c r="G476" s="6">
        <f>(H476-F476)/F476</f>
        <v>-0.9036782043660454</v>
      </c>
      <c r="H476" s="1">
        <f>H237+H268+H370+H417</f>
        <v>5273451</v>
      </c>
    </row>
    <row r="477" spans="1:8" ht="18" customHeight="1">
      <c r="A477" s="1" t="s">
        <v>143</v>
      </c>
      <c r="B477" s="1">
        <f>B238+B296+B371+B418+B446</f>
        <v>6248020</v>
      </c>
      <c r="C477" s="1">
        <f>C238+C296+C371+C418+C446</f>
        <v>6238662</v>
      </c>
      <c r="D477" s="1">
        <f>D238+D296+D371+D418+D446</f>
        <v>6379092</v>
      </c>
      <c r="E477" s="6">
        <f>(F477-D477)/D477</f>
        <v>0.6149858004869658</v>
      </c>
      <c r="F477" s="1">
        <f>F238+F296+F371+F418+F446</f>
        <v>10302143</v>
      </c>
      <c r="G477" s="6">
        <f>(H477-F477)/F477</f>
        <v>0.0006432642218225859</v>
      </c>
      <c r="H477" s="1">
        <f>H238+H296+H371+H418+H446</f>
        <v>10308770</v>
      </c>
    </row>
    <row r="478" spans="1:8" ht="18" customHeight="1">
      <c r="A478" s="3" t="s">
        <v>163</v>
      </c>
      <c r="B478" s="3">
        <f>SUM(B470:B477)</f>
        <v>60970642</v>
      </c>
      <c r="C478" s="3">
        <f>SUM(C470:C477)</f>
        <v>62230318</v>
      </c>
      <c r="D478" s="3">
        <f>SUM(D470:D477)</f>
        <v>75446127</v>
      </c>
      <c r="E478" s="6">
        <f>(F478-D478)/D478</f>
        <v>0.6144863208153812</v>
      </c>
      <c r="F478" s="3">
        <f>SUM(F470:F477)</f>
        <v>121806740</v>
      </c>
      <c r="G478" s="6">
        <f>(H478-F478)/F478</f>
        <v>-0.3619811925021555</v>
      </c>
      <c r="H478" s="3">
        <f>SUM(H470:H477)</f>
        <v>77714991</v>
      </c>
    </row>
    <row r="479" spans="5:7" ht="18" customHeight="1">
      <c r="E479" s="6"/>
      <c r="G479" s="6"/>
    </row>
    <row r="480" spans="1:8" ht="18" customHeight="1">
      <c r="A480" s="3" t="s">
        <v>145</v>
      </c>
      <c r="B480" s="3">
        <f>B467-B478</f>
        <v>-3296285</v>
      </c>
      <c r="C480" s="3">
        <f>C467-C478</f>
        <v>-90118</v>
      </c>
      <c r="D480" s="3">
        <f>D467-D478</f>
        <v>-12851522</v>
      </c>
      <c r="E480" s="6">
        <f>(F480-D480)/D480</f>
        <v>2.8628891581868667</v>
      </c>
      <c r="F480" s="3">
        <f>F467-F478</f>
        <v>-49644005</v>
      </c>
      <c r="G480" s="6">
        <f>(H480-F480)/F480</f>
        <v>-0.9596866127138615</v>
      </c>
      <c r="H480" s="3">
        <f>H467-H478</f>
        <v>-2001318</v>
      </c>
    </row>
    <row r="481" spans="5:7" ht="18" customHeight="1">
      <c r="E481" s="6"/>
      <c r="G481" s="6"/>
    </row>
    <row r="482" spans="1:8" ht="18" customHeight="1">
      <c r="A482" s="3" t="s">
        <v>146</v>
      </c>
      <c r="B482" s="3">
        <v>15403050</v>
      </c>
      <c r="C482" s="3">
        <v>11990567</v>
      </c>
      <c r="D482" s="3">
        <f>+C485</f>
        <v>12188601</v>
      </c>
      <c r="E482" s="6">
        <f>(F482-D482)/D482</f>
        <v>4.192654185660849</v>
      </c>
      <c r="F482" s="3">
        <f>+D485</f>
        <v>63291190</v>
      </c>
      <c r="G482" s="6">
        <f>(H482-F482)/F482</f>
        <v>-0.7843746499315307</v>
      </c>
      <c r="H482" s="3">
        <f>+F485</f>
        <v>13647185</v>
      </c>
    </row>
    <row r="483" spans="1:8" ht="18" customHeight="1">
      <c r="A483" s="3" t="s">
        <v>147</v>
      </c>
      <c r="B483" s="3">
        <f>B244+B274+B424</f>
        <v>-116198</v>
      </c>
      <c r="C483" s="3">
        <f>C244+C274+C424+C301+C377</f>
        <v>288152</v>
      </c>
      <c r="D483" s="3">
        <f>D244+D274+D424+D301+D377</f>
        <v>63954111</v>
      </c>
      <c r="E483" s="6">
        <f>(F483-D483)/D483</f>
        <v>-1</v>
      </c>
      <c r="F483" s="3">
        <f>F244+F274+F424+F301+F377</f>
        <v>0</v>
      </c>
      <c r="G483" s="6" t="e">
        <f>(H483-F483)/F483</f>
        <v>#DIV/0!</v>
      </c>
      <c r="H483" s="3">
        <f>H244+H274+H424+H301+H377</f>
        <v>0</v>
      </c>
    </row>
    <row r="484" spans="1:7" ht="18" customHeight="1">
      <c r="A484" s="3"/>
      <c r="E484" s="6"/>
      <c r="G484" s="6"/>
    </row>
    <row r="485" spans="1:8" ht="18" customHeight="1">
      <c r="A485" s="3" t="s">
        <v>148</v>
      </c>
      <c r="B485" s="3">
        <f>B480+B482+B483</f>
        <v>11990567</v>
      </c>
      <c r="C485" s="3">
        <f>C480+C482+C483</f>
        <v>12188601</v>
      </c>
      <c r="D485" s="3">
        <f>D480+D482+D483</f>
        <v>63291190</v>
      </c>
      <c r="E485" s="6">
        <f>(F485-D485)/D485</f>
        <v>-0.7843746499315307</v>
      </c>
      <c r="F485" s="3">
        <f>F480+F482+F483</f>
        <v>13647185</v>
      </c>
      <c r="G485" s="6">
        <f>(H485-F485)/F485</f>
        <v>-0.1466469458719875</v>
      </c>
      <c r="H485" s="3">
        <f>H480+H482+H483</f>
        <v>11645867</v>
      </c>
    </row>
  </sheetData>
  <sheetProtection selectLockedCells="1" selectUnlockedCells="1"/>
  <printOptions/>
  <pageMargins left="0.5" right="0.5" top="0.5" bottom="0.5" header="0.5118055555555555" footer="0.5118055555555555"/>
  <pageSetup fitToHeight="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KJ8975</dc:creator>
  <cp:keywords/>
  <dc:description/>
  <cp:lastModifiedBy>rw </cp:lastModifiedBy>
  <cp:lastPrinted>2017-05-31T15:32:45Z</cp:lastPrinted>
  <dcterms:created xsi:type="dcterms:W3CDTF">2015-05-29T21:44:07Z</dcterms:created>
  <dcterms:modified xsi:type="dcterms:W3CDTF">2017-06-09T18:20:51Z</dcterms:modified>
  <cp:category/>
  <cp:version/>
  <cp:contentType/>
  <cp:contentStatus/>
  <cp:revision>3</cp:revision>
</cp:coreProperties>
</file>